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9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2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21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22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23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24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25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26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8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9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Abimael\Downloads\"/>
    </mc:Choice>
  </mc:AlternateContent>
  <xr:revisionPtr revIDLastSave="0" documentId="13_ncr:1_{D07087A5-3447-40DC-A835-44D9B7ECCC21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160" xr2:uid="{D23822B3-3368-4D14-8922-753B158DCBDB}"/>
  </bookViews>
  <sheets>
    <sheet name="Interf_capact" sheetId="4" r:id="rId1"/>
    <sheet name="Graf_Desc" sheetId="5" r:id="rId2"/>
    <sheet name="COD_DESC_CAPACT" sheetId="1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G19" i="1" l="1"/>
  <c r="DF19" i="1"/>
  <c r="DG30" i="1"/>
  <c r="DF6" i="1"/>
  <c r="L131" i="1"/>
  <c r="K131" i="1"/>
  <c r="L129" i="1"/>
  <c r="K129" i="1"/>
  <c r="L116" i="1"/>
  <c r="K116" i="1"/>
  <c r="L114" i="1"/>
  <c r="K114" i="1"/>
  <c r="P116" i="1"/>
  <c r="O116" i="1"/>
  <c r="S117" i="1"/>
  <c r="S116" i="1"/>
  <c r="R116" i="1"/>
  <c r="R117" i="1"/>
  <c r="S154" i="1"/>
  <c r="R154" i="1"/>
  <c r="S153" i="1"/>
  <c r="R153" i="1"/>
  <c r="S152" i="1"/>
  <c r="R152" i="1"/>
  <c r="S151" i="1"/>
  <c r="R151" i="1"/>
  <c r="S150" i="1"/>
  <c r="R150" i="1"/>
  <c r="S149" i="1"/>
  <c r="R149" i="1"/>
  <c r="S146" i="1"/>
  <c r="R146" i="1"/>
  <c r="S145" i="1"/>
  <c r="R145" i="1"/>
  <c r="P154" i="1"/>
  <c r="O154" i="1"/>
  <c r="P153" i="1"/>
  <c r="O153" i="1"/>
  <c r="P152" i="1"/>
  <c r="O152" i="1"/>
  <c r="P151" i="1"/>
  <c r="O151" i="1"/>
  <c r="P150" i="1"/>
  <c r="O150" i="1"/>
  <c r="P149" i="1"/>
  <c r="O149" i="1"/>
  <c r="P146" i="1"/>
  <c r="O146" i="1"/>
  <c r="P145" i="1"/>
  <c r="O145" i="1"/>
  <c r="L150" i="1"/>
  <c r="L149" i="1"/>
  <c r="K150" i="1"/>
  <c r="K149" i="1"/>
  <c r="L154" i="1"/>
  <c r="L153" i="1"/>
  <c r="K151" i="1"/>
  <c r="K152" i="1"/>
  <c r="K154" i="1"/>
  <c r="K153" i="1"/>
  <c r="L152" i="1"/>
  <c r="L151" i="1"/>
  <c r="K146" i="1"/>
  <c r="L146" i="1"/>
  <c r="L145" i="1"/>
  <c r="K145" i="1"/>
  <c r="K161" i="1"/>
  <c r="K160" i="1"/>
  <c r="L161" i="1"/>
  <c r="L160" i="1"/>
  <c r="L128" i="1"/>
  <c r="L127" i="1"/>
  <c r="G119" i="1"/>
  <c r="G115" i="1"/>
  <c r="AF44" i="1"/>
  <c r="AF41" i="1"/>
  <c r="AF43" i="1" s="1"/>
  <c r="CH4" i="1"/>
  <c r="CQ5" i="1"/>
  <c r="CV9" i="1"/>
  <c r="E77" i="1"/>
  <c r="F86" i="1" s="1"/>
  <c r="CK22" i="1"/>
  <c r="CN18" i="1"/>
  <c r="CK23" i="1"/>
  <c r="CL12" i="1"/>
  <c r="CJ6" i="1"/>
  <c r="D77" i="1" l="1"/>
  <c r="C86" i="1" s="1"/>
  <c r="AF45" i="1"/>
  <c r="AF42" i="1"/>
  <c r="CK25" i="1"/>
  <c r="CK24" i="1"/>
  <c r="CG10" i="1"/>
  <c r="AF19" i="1"/>
  <c r="AE20" i="1" s="1"/>
  <c r="CK26" i="1" l="1"/>
  <c r="BG38" i="1"/>
  <c r="BG37" i="1"/>
  <c r="BG39" i="1"/>
  <c r="BH39" i="1"/>
  <c r="BH38" i="1"/>
  <c r="BH37" i="1"/>
  <c r="BH36" i="1"/>
  <c r="BG36" i="1"/>
  <c r="BN22" i="1"/>
  <c r="BN21" i="1"/>
  <c r="BM18" i="1"/>
  <c r="BS17" i="1"/>
  <c r="AV17" i="1"/>
  <c r="AF38" i="1" s="1"/>
  <c r="AH33" i="1"/>
  <c r="AD32" i="1"/>
  <c r="AC32" i="1"/>
  <c r="Z20" i="1"/>
  <c r="AB66" i="1"/>
  <c r="AB53" i="1"/>
  <c r="Q53" i="1" s="1"/>
  <c r="AF36" i="1" l="1"/>
  <c r="AF37" i="1"/>
  <c r="CK27" i="1"/>
  <c r="AB68" i="1"/>
  <c r="AA68" i="1"/>
  <c r="V56" i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N53" i="1"/>
  <c r="CK28" i="1" l="1"/>
  <c r="AB55" i="1"/>
  <c r="AB59" i="1" s="1"/>
  <c r="AB64" i="1" s="1"/>
  <c r="CK29" i="1" l="1"/>
  <c r="AA69" i="1"/>
  <c r="AB69" i="1"/>
  <c r="AA64" i="1"/>
  <c r="K55" i="1"/>
  <c r="CK30" i="1" l="1"/>
  <c r="CJ31" i="1"/>
  <c r="CK31" i="1" s="1"/>
  <c r="C85" i="1"/>
  <c r="G86" i="1"/>
  <c r="G87" i="1" s="1"/>
  <c r="G88" i="1" s="1"/>
  <c r="D86" i="1"/>
  <c r="D87" i="1" s="1"/>
  <c r="D88" i="1" s="1"/>
  <c r="G84" i="1"/>
  <c r="F84" i="1"/>
  <c r="D84" i="1"/>
  <c r="C84" i="1"/>
  <c r="B1" i="1"/>
  <c r="CK21" i="1" s="1"/>
  <c r="Q45" i="1"/>
  <c r="Q46" i="1" s="1"/>
  <c r="Q47" i="1" s="1"/>
  <c r="AE10" i="1"/>
  <c r="D1" i="4"/>
  <c r="AE12" i="1"/>
  <c r="AG6" i="1" s="1"/>
  <c r="CL24" i="1" l="1"/>
  <c r="CL28" i="1"/>
  <c r="CL23" i="1"/>
  <c r="CL25" i="1"/>
  <c r="CL26" i="1"/>
  <c r="CL30" i="1"/>
  <c r="CL27" i="1"/>
  <c r="CL31" i="1"/>
  <c r="CL29" i="1"/>
  <c r="BH35" i="1"/>
  <c r="BL41" i="1" s="1"/>
  <c r="AF29" i="1"/>
  <c r="C8" i="1" s="1"/>
  <c r="AF28" i="1"/>
  <c r="C87" i="1"/>
  <c r="C88" i="1" s="1"/>
  <c r="F87" i="1"/>
  <c r="F88" i="1" s="1"/>
  <c r="AI7" i="1"/>
  <c r="B56" i="1"/>
  <c r="D45" i="1"/>
  <c r="X13" i="1"/>
  <c r="X12" i="1" s="1"/>
  <c r="W14" i="1" l="1"/>
  <c r="CG14" i="1"/>
  <c r="C31" i="1"/>
  <c r="CS12" i="1"/>
  <c r="CG13" i="1"/>
  <c r="CK18" i="1"/>
  <c r="CS13" i="1"/>
  <c r="AE9" i="1"/>
  <c r="BI36" i="1"/>
  <c r="BK36" i="1" s="1"/>
  <c r="BI39" i="1"/>
  <c r="BK39" i="1" s="1"/>
  <c r="BL36" i="1"/>
  <c r="BW23" i="1" s="1"/>
  <c r="BI37" i="1"/>
  <c r="BK37" i="1" s="1"/>
  <c r="BL38" i="1"/>
  <c r="BT34" i="1" s="1"/>
  <c r="BI38" i="1"/>
  <c r="BK38" i="1" s="1"/>
  <c r="BL37" i="1"/>
  <c r="BP21" i="1" s="1"/>
  <c r="BL39" i="1"/>
  <c r="BT40" i="1" s="1"/>
  <c r="V6" i="1"/>
  <c r="F33" i="1"/>
  <c r="D38" i="1"/>
  <c r="C101" i="1" s="1"/>
  <c r="F21" i="1"/>
  <c r="L10" i="1"/>
  <c r="L17" i="1" s="1"/>
  <c r="L18" i="1" s="1"/>
  <c r="K9" i="1"/>
  <c r="K13" i="1"/>
  <c r="H10" i="1"/>
  <c r="H17" i="1" s="1"/>
  <c r="H18" i="1" s="1"/>
  <c r="G14" i="1"/>
  <c r="AC33" i="1" s="1"/>
  <c r="CN31" i="1" l="1"/>
  <c r="CK20" i="1"/>
  <c r="D52" i="1"/>
  <c r="E52" i="1" s="1"/>
  <c r="F98" i="1" s="1"/>
  <c r="AF23" i="1"/>
  <c r="AF21" i="1"/>
  <c r="AG21" i="1" s="1"/>
  <c r="AF22" i="1"/>
  <c r="AG24" i="1" s="1"/>
  <c r="BT37" i="1"/>
  <c r="BP27" i="1"/>
  <c r="BT43" i="1"/>
  <c r="BP34" i="1"/>
  <c r="BX23" i="1"/>
  <c r="BX36" i="1" s="1"/>
  <c r="BX37" i="1" s="1"/>
  <c r="BW36" i="1"/>
  <c r="K14" i="1"/>
  <c r="AG33" i="1" s="1"/>
  <c r="AG32" i="1"/>
  <c r="L13" i="1"/>
  <c r="AH32" i="1" s="1"/>
  <c r="AQ21" i="1" s="1"/>
  <c r="AF26" i="1"/>
  <c r="CG6" i="1" s="1"/>
  <c r="G34" i="1"/>
  <c r="H14" i="1"/>
  <c r="AD33" i="1" s="1"/>
  <c r="AQ22" i="1" s="1"/>
  <c r="W9" i="1"/>
  <c r="W10" i="1"/>
  <c r="X10" i="1" s="1"/>
  <c r="H33" i="1"/>
  <c r="G33" i="1"/>
  <c r="G21" i="1"/>
  <c r="H34" i="1"/>
  <c r="H21" i="1"/>
  <c r="H22" i="1"/>
  <c r="G22" i="1"/>
  <c r="CR10" i="1" l="1"/>
  <c r="DF5" i="1"/>
  <c r="F23" i="5" s="1"/>
  <c r="C38" i="1"/>
  <c r="E38" i="1" s="1"/>
  <c r="D101" i="1" s="1"/>
  <c r="F126" i="1"/>
  <c r="AU43" i="1"/>
  <c r="AU40" i="1"/>
  <c r="AG44" i="1"/>
  <c r="AG43" i="1"/>
  <c r="AG45" i="1"/>
  <c r="AG42" i="1"/>
  <c r="BH22" i="1"/>
  <c r="BL22" i="1"/>
  <c r="BL28" i="1"/>
  <c r="BH28" i="1"/>
  <c r="AG25" i="1"/>
  <c r="BL25" i="1"/>
  <c r="F56" i="1"/>
  <c r="H56" i="1" s="1"/>
  <c r="E67" i="1"/>
  <c r="BH25" i="1"/>
  <c r="CG7" i="1"/>
  <c r="CK8" i="1" s="1"/>
  <c r="CL8" i="1" s="1"/>
  <c r="F22" i="5" s="1"/>
  <c r="BI32" i="1"/>
  <c r="BI33" i="1" s="1"/>
  <c r="BX24" i="1"/>
  <c r="BB23" i="1"/>
  <c r="BY24" i="1" s="1"/>
  <c r="BY36" i="1" s="1"/>
  <c r="BR33" i="1"/>
  <c r="BR36" i="1"/>
  <c r="BR39" i="1"/>
  <c r="BR42" i="1"/>
  <c r="BR34" i="1"/>
  <c r="BV34" i="1"/>
  <c r="BR37" i="1"/>
  <c r="BR40" i="1"/>
  <c r="BR43" i="1"/>
  <c r="BP37" i="1"/>
  <c r="BR24" i="1"/>
  <c r="BH24" i="1" s="1"/>
  <c r="BR21" i="1"/>
  <c r="BR27" i="1"/>
  <c r="BR30" i="1"/>
  <c r="BB36" i="1"/>
  <c r="BV20" i="1"/>
  <c r="BR29" i="1"/>
  <c r="BR26" i="1"/>
  <c r="BR23" i="1"/>
  <c r="BR20" i="1"/>
  <c r="AH39" i="1"/>
  <c r="AW29" i="1" s="1"/>
  <c r="AW42" i="1" s="1"/>
  <c r="AH38" i="1"/>
  <c r="AW23" i="1" s="1"/>
  <c r="AH37" i="1"/>
  <c r="AS29" i="1" s="1"/>
  <c r="AS42" i="1" s="1"/>
  <c r="AH36" i="1"/>
  <c r="AG37" i="1"/>
  <c r="AG38" i="1"/>
  <c r="AG36" i="1"/>
  <c r="AG39" i="1"/>
  <c r="AU34" i="1"/>
  <c r="AU37" i="1"/>
  <c r="AY34" i="1"/>
  <c r="AY20" i="1"/>
  <c r="AU39" i="1"/>
  <c r="AU42" i="1"/>
  <c r="AU36" i="1"/>
  <c r="AU33" i="1"/>
  <c r="AU26" i="1"/>
  <c r="AU29" i="1"/>
  <c r="AU20" i="1"/>
  <c r="AU23" i="1"/>
  <c r="AU30" i="1"/>
  <c r="AU27" i="1"/>
  <c r="AU24" i="1"/>
  <c r="AU21" i="1"/>
  <c r="AT17" i="1"/>
  <c r="X9" i="1"/>
  <c r="AI9" i="1"/>
  <c r="AI8" i="1"/>
  <c r="CR23" i="1" l="1"/>
  <c r="CN23" i="1" s="1"/>
  <c r="CY7" i="1" s="1"/>
  <c r="F38" i="1"/>
  <c r="Z21" i="1" s="1"/>
  <c r="AN36" i="1" s="1"/>
  <c r="G38" i="1"/>
  <c r="AT42" i="1"/>
  <c r="AT43" i="1" s="1"/>
  <c r="C39" i="1"/>
  <c r="A57" i="1"/>
  <c r="B57" i="1" s="1"/>
  <c r="C56" i="1" s="1"/>
  <c r="F59" i="1"/>
  <c r="F62" i="1" s="1"/>
  <c r="H57" i="1" s="1"/>
  <c r="CR24" i="1" s="1"/>
  <c r="CN24" i="1" s="1"/>
  <c r="CK12" i="1"/>
  <c r="CN19" i="1"/>
  <c r="CR7" i="1"/>
  <c r="BH20" i="1"/>
  <c r="BH26" i="1"/>
  <c r="BH21" i="1"/>
  <c r="BH23" i="1"/>
  <c r="BH30" i="1"/>
  <c r="BH29" i="1"/>
  <c r="BH27" i="1"/>
  <c r="AM32" i="1"/>
  <c r="BV37" i="1"/>
  <c r="BV40" i="1" s="1"/>
  <c r="BV43" i="1" s="1"/>
  <c r="BP40" i="1"/>
  <c r="BB24" i="1"/>
  <c r="BY23" i="1" s="1"/>
  <c r="BQ17" i="1"/>
  <c r="BV33" i="1" s="1"/>
  <c r="BV36" i="1" s="1"/>
  <c r="BV39" i="1" s="1"/>
  <c r="BV42" i="1" s="1"/>
  <c r="BV23" i="1"/>
  <c r="AW20" i="1"/>
  <c r="AW36" i="1"/>
  <c r="AT29" i="1"/>
  <c r="AS26" i="1"/>
  <c r="AW26" i="1"/>
  <c r="AY33" i="1"/>
  <c r="AY36" i="1" s="1"/>
  <c r="AY39" i="1" s="1"/>
  <c r="BB37" i="1"/>
  <c r="AY21" i="1"/>
  <c r="AY24" i="1" s="1"/>
  <c r="AY37" i="1"/>
  <c r="AY40" i="1" s="1"/>
  <c r="AY23" i="1"/>
  <c r="AY26" i="1" s="1"/>
  <c r="AY29" i="1" s="1"/>
  <c r="AK27" i="1"/>
  <c r="AK30" i="1"/>
  <c r="AK22" i="1"/>
  <c r="AM25" i="1"/>
  <c r="AK26" i="1"/>
  <c r="AK20" i="1"/>
  <c r="AM22" i="1"/>
  <c r="AK23" i="1"/>
  <c r="AO28" i="1"/>
  <c r="AO25" i="1"/>
  <c r="AK28" i="1"/>
  <c r="AO22" i="1"/>
  <c r="AK25" i="1"/>
  <c r="AM28" i="1"/>
  <c r="AK29" i="1"/>
  <c r="AI11" i="1" a="1"/>
  <c r="AI11" i="1" s="1"/>
  <c r="AJ29" i="1" l="1"/>
  <c r="CY8" i="1"/>
  <c r="CZ8" i="1" s="1"/>
  <c r="DG12" i="1"/>
  <c r="DG23" i="1"/>
  <c r="CN20" i="1"/>
  <c r="DF8" i="1" s="1"/>
  <c r="DF7" i="1"/>
  <c r="DG11" i="1"/>
  <c r="DG22" i="1"/>
  <c r="P44" i="1"/>
  <c r="E101" i="1"/>
  <c r="A58" i="1"/>
  <c r="A59" i="1" s="1"/>
  <c r="C40" i="1"/>
  <c r="D39" i="1"/>
  <c r="C102" i="1" s="1"/>
  <c r="H58" i="1"/>
  <c r="CR25" i="1" s="1"/>
  <c r="CN25" i="1" s="1"/>
  <c r="CZ7" i="1"/>
  <c r="BL20" i="1"/>
  <c r="BV21" i="1"/>
  <c r="BV24" i="1" s="1"/>
  <c r="BL24" i="1" s="1"/>
  <c r="AM33" i="1"/>
  <c r="BJ32" i="1"/>
  <c r="BY37" i="1"/>
  <c r="BJ33" i="1" s="1"/>
  <c r="BP43" i="1"/>
  <c r="BP26" i="1"/>
  <c r="BP29" i="1" s="1"/>
  <c r="AS20" i="1"/>
  <c r="AS33" i="1" s="1"/>
  <c r="AT33" i="1" s="1"/>
  <c r="AW33" i="1"/>
  <c r="BT20" i="1"/>
  <c r="AW39" i="1"/>
  <c r="BT26" i="1"/>
  <c r="BV26" i="1"/>
  <c r="BL23" i="1"/>
  <c r="AT26" i="1"/>
  <c r="AS39" i="1"/>
  <c r="AT39" i="1" s="1"/>
  <c r="AT30" i="1"/>
  <c r="AJ30" i="1" s="1"/>
  <c r="AO21" i="1"/>
  <c r="AO23" i="1"/>
  <c r="BA23" i="1"/>
  <c r="AL32" i="1" s="1"/>
  <c r="AO20" i="1"/>
  <c r="AY43" i="1"/>
  <c r="AY27" i="1"/>
  <c r="AY30" i="1" s="1"/>
  <c r="AK24" i="1"/>
  <c r="AK21" i="1"/>
  <c r="AO24" i="1"/>
  <c r="CO23" i="1" l="1"/>
  <c r="CQ23" i="1" s="1"/>
  <c r="DF23" i="1"/>
  <c r="DF12" i="1" s="1"/>
  <c r="DF22" i="1"/>
  <c r="DF11" i="1" s="1"/>
  <c r="CO24" i="1"/>
  <c r="CQ24" i="1" s="1"/>
  <c r="CO25" i="1"/>
  <c r="CQ25" i="1" s="1"/>
  <c r="DG24" i="1"/>
  <c r="DF24" i="1" s="1"/>
  <c r="DF13" i="1" s="1"/>
  <c r="DG13" i="1"/>
  <c r="DH22" i="1"/>
  <c r="DH11" i="1" s="1"/>
  <c r="DH23" i="1"/>
  <c r="DH12" i="1" s="1"/>
  <c r="DH30" i="1"/>
  <c r="DH19" i="1" s="1"/>
  <c r="B58" i="1"/>
  <c r="C57" i="1" s="1"/>
  <c r="C41" i="1"/>
  <c r="E39" i="1"/>
  <c r="D102" i="1" s="1"/>
  <c r="B59" i="1"/>
  <c r="A60" i="1"/>
  <c r="AT34" i="1"/>
  <c r="AT40" i="1"/>
  <c r="AJ26" i="1"/>
  <c r="H59" i="1"/>
  <c r="CR26" i="1" s="1"/>
  <c r="CN26" i="1" s="1"/>
  <c r="BL21" i="1"/>
  <c r="AT20" i="1"/>
  <c r="AJ20" i="1" s="1"/>
  <c r="BQ29" i="1"/>
  <c r="BP42" i="1"/>
  <c r="BQ42" i="1" s="1"/>
  <c r="BQ43" i="1" s="1"/>
  <c r="BU26" i="1"/>
  <c r="BT39" i="1"/>
  <c r="BT33" i="1"/>
  <c r="BQ26" i="1"/>
  <c r="BQ27" i="1" s="1"/>
  <c r="BP39" i="1"/>
  <c r="BQ39" i="1" s="1"/>
  <c r="BQ40" i="1" s="1"/>
  <c r="AS23" i="1"/>
  <c r="BP20" i="1"/>
  <c r="BT23" i="1"/>
  <c r="BT36" i="1" s="1"/>
  <c r="AT27" i="1"/>
  <c r="BV29" i="1"/>
  <c r="BL29" i="1" s="1"/>
  <c r="BL26" i="1"/>
  <c r="BV27" i="1"/>
  <c r="BT29" i="1"/>
  <c r="AP18" i="1"/>
  <c r="AX42" i="1" s="1"/>
  <c r="AY42" i="1"/>
  <c r="AO29" i="1" s="1"/>
  <c r="AO26" i="1"/>
  <c r="AO30" i="1"/>
  <c r="AO27" i="1"/>
  <c r="CY9" i="1" l="1"/>
  <c r="CZ9" i="1" s="1"/>
  <c r="DH24" i="1"/>
  <c r="DH13" i="1" s="1"/>
  <c r="CO26" i="1"/>
  <c r="CQ26" i="1" s="1"/>
  <c r="DG25" i="1"/>
  <c r="DG14" i="1"/>
  <c r="F39" i="1"/>
  <c r="Z22" i="1" s="1"/>
  <c r="AN37" i="1" s="1"/>
  <c r="G39" i="1"/>
  <c r="C58" i="1"/>
  <c r="D40" i="1"/>
  <c r="C103" i="1" s="1"/>
  <c r="C42" i="1"/>
  <c r="A61" i="1"/>
  <c r="B60" i="1"/>
  <c r="C59" i="1" s="1"/>
  <c r="AJ27" i="1"/>
  <c r="H60" i="1"/>
  <c r="CR27" i="1" s="1"/>
  <c r="CN27" i="1" s="1"/>
  <c r="BG27" i="1"/>
  <c r="BU20" i="1"/>
  <c r="BU21" i="1" s="1"/>
  <c r="AX39" i="1"/>
  <c r="BU33" i="1"/>
  <c r="BU34" i="1" s="1"/>
  <c r="BU36" i="1" s="1"/>
  <c r="BU37" i="1" s="1"/>
  <c r="BU39" i="1"/>
  <c r="BU40" i="1" s="1"/>
  <c r="AX33" i="1"/>
  <c r="BP33" i="1"/>
  <c r="BQ33" i="1" s="1"/>
  <c r="BQ34" i="1" s="1"/>
  <c r="BQ20" i="1"/>
  <c r="BQ21" i="1" s="1"/>
  <c r="BG26" i="1"/>
  <c r="AT21" i="1"/>
  <c r="AJ21" i="1" s="1"/>
  <c r="BU29" i="1"/>
  <c r="BT42" i="1"/>
  <c r="BU42" i="1" s="1"/>
  <c r="BU43" i="1" s="1"/>
  <c r="BP23" i="1"/>
  <c r="BP36" i="1" s="1"/>
  <c r="BQ36" i="1" s="1"/>
  <c r="BQ37" i="1" s="1"/>
  <c r="AS36" i="1"/>
  <c r="AT36" i="1" s="1"/>
  <c r="AT23" i="1"/>
  <c r="BU27" i="1"/>
  <c r="BQ30" i="1"/>
  <c r="BG30" i="1" s="1"/>
  <c r="BG29" i="1"/>
  <c r="BL27" i="1"/>
  <c r="BV30" i="1"/>
  <c r="BL30" i="1" s="1"/>
  <c r="AX20" i="1"/>
  <c r="AX29" i="1"/>
  <c r="AN29" i="1" s="1"/>
  <c r="AX26" i="1"/>
  <c r="AL33" i="1"/>
  <c r="BA36" i="1"/>
  <c r="BA37" i="1" s="1"/>
  <c r="BA24" i="1"/>
  <c r="CY10" i="1" l="1"/>
  <c r="CZ10" i="1" s="1"/>
  <c r="CO27" i="1"/>
  <c r="CQ27" i="1" s="1"/>
  <c r="DG26" i="1"/>
  <c r="DG15" i="1"/>
  <c r="DF25" i="1"/>
  <c r="DF14" i="1" s="1"/>
  <c r="DH25" i="1"/>
  <c r="DH14" i="1" s="1"/>
  <c r="P45" i="1"/>
  <c r="E102" i="1"/>
  <c r="K39" i="1"/>
  <c r="C43" i="1"/>
  <c r="E40" i="1"/>
  <c r="D103" i="1" s="1"/>
  <c r="A62" i="1"/>
  <c r="B61" i="1"/>
  <c r="C60" i="1" s="1"/>
  <c r="AN26" i="1"/>
  <c r="AN20" i="1"/>
  <c r="AT37" i="1"/>
  <c r="AJ23" i="1"/>
  <c r="BK27" i="1"/>
  <c r="H61" i="1"/>
  <c r="CR28" i="1" s="1"/>
  <c r="CN28" i="1" s="1"/>
  <c r="BK26" i="1"/>
  <c r="BG21" i="1"/>
  <c r="BK20" i="1"/>
  <c r="AT24" i="1"/>
  <c r="BQ23" i="1"/>
  <c r="BG20" i="1"/>
  <c r="BU30" i="1"/>
  <c r="BK30" i="1" s="1"/>
  <c r="BK29" i="1"/>
  <c r="BU23" i="1"/>
  <c r="BK21" i="1"/>
  <c r="AX21" i="1"/>
  <c r="AX34" i="1"/>
  <c r="AX27" i="1"/>
  <c r="AX40" i="1"/>
  <c r="CY11" i="1" l="1"/>
  <c r="CZ11" i="1" s="1"/>
  <c r="DH26" i="1"/>
  <c r="DH15" i="1" s="1"/>
  <c r="DF26" i="1"/>
  <c r="DF15" i="1" s="1"/>
  <c r="CY12" i="1"/>
  <c r="CZ12" i="1" s="1"/>
  <c r="DG16" i="1"/>
  <c r="DG27" i="1"/>
  <c r="F40" i="1"/>
  <c r="Z23" i="1" s="1"/>
  <c r="AN38" i="1" s="1"/>
  <c r="G40" i="1"/>
  <c r="C44" i="1"/>
  <c r="D41" i="1"/>
  <c r="C104" i="1" s="1"/>
  <c r="B62" i="1"/>
  <c r="C61" i="1" s="1"/>
  <c r="A63" i="1"/>
  <c r="AN27" i="1"/>
  <c r="AJ24" i="1"/>
  <c r="AX36" i="1"/>
  <c r="AN21" i="1"/>
  <c r="H62" i="1"/>
  <c r="BQ24" i="1"/>
  <c r="BG24" i="1" s="1"/>
  <c r="BG23" i="1"/>
  <c r="BU24" i="1"/>
  <c r="BK24" i="1" s="1"/>
  <c r="BK23" i="1"/>
  <c r="AX23" i="1"/>
  <c r="AX43" i="1"/>
  <c r="CO28" i="1" l="1"/>
  <c r="CQ28" i="1" s="1"/>
  <c r="CR29" i="1"/>
  <c r="CN29" i="1" s="1"/>
  <c r="H63" i="1"/>
  <c r="CR30" i="1" s="1"/>
  <c r="CN30" i="1" s="1"/>
  <c r="DH27" i="1"/>
  <c r="DH16" i="1" s="1"/>
  <c r="DF27" i="1"/>
  <c r="DF16" i="1" s="1"/>
  <c r="P46" i="1"/>
  <c r="E103" i="1"/>
  <c r="C45" i="1"/>
  <c r="E42" i="1" s="1"/>
  <c r="D105" i="1" s="1"/>
  <c r="E41" i="1"/>
  <c r="D104" i="1" s="1"/>
  <c r="A64" i="1"/>
  <c r="B64" i="1" s="1"/>
  <c r="B63" i="1"/>
  <c r="AN23" i="1"/>
  <c r="AX37" i="1"/>
  <c r="AX24" i="1"/>
  <c r="AX30" i="1"/>
  <c r="AN30" i="1" s="1"/>
  <c r="CO30" i="1" l="1"/>
  <c r="CQ30" i="1" s="1"/>
  <c r="DG18" i="1"/>
  <c r="DG29" i="1"/>
  <c r="DG28" i="1"/>
  <c r="DG17" i="1"/>
  <c r="F41" i="1"/>
  <c r="K40" i="1" s="1"/>
  <c r="G41" i="1"/>
  <c r="F42" i="1"/>
  <c r="G42" i="1"/>
  <c r="E105" i="1" s="1"/>
  <c r="C62" i="1"/>
  <c r="C64" i="1"/>
  <c r="C63" i="1"/>
  <c r="AN24" i="1"/>
  <c r="CR31" i="1"/>
  <c r="CY14" i="1" l="1"/>
  <c r="CZ14" i="1" s="1"/>
  <c r="CO29" i="1"/>
  <c r="CQ29" i="1" s="1"/>
  <c r="CY13" i="1"/>
  <c r="CZ13" i="1" s="1"/>
  <c r="DH29" i="1"/>
  <c r="DH18" i="1" s="1"/>
  <c r="DF29" i="1"/>
  <c r="DF18" i="1" s="1"/>
  <c r="DF28" i="1"/>
  <c r="DF17" i="1" s="1"/>
  <c r="DH28" i="1"/>
  <c r="DH17" i="1" s="1"/>
  <c r="AH24" i="1"/>
  <c r="Z25" i="1"/>
  <c r="AH25" i="1" s="1"/>
  <c r="L45" i="1"/>
  <c r="P47" i="1"/>
  <c r="E104" i="1"/>
  <c r="F48" i="1" a="1"/>
  <c r="F48" i="1" s="1"/>
  <c r="Z24" i="1"/>
  <c r="AN39" i="1" s="1"/>
  <c r="G52" i="1"/>
  <c r="J59" i="1" s="1"/>
  <c r="C124" i="1" s="1"/>
  <c r="D126" i="1" s="1"/>
  <c r="CO31" i="1"/>
  <c r="CQ31" i="1" s="1"/>
  <c r="CY15" i="1"/>
  <c r="CZ15" i="1" s="1"/>
  <c r="DH6" i="1" l="1"/>
  <c r="CS9" i="1"/>
  <c r="CS15" i="1" s="1"/>
  <c r="CS17" i="1" s="1"/>
  <c r="CS18" i="1" s="1"/>
  <c r="H100" i="1"/>
  <c r="I100" i="1" s="1"/>
  <c r="P62" i="1"/>
  <c r="Q72" i="1" s="1"/>
  <c r="N72" i="1" s="1"/>
  <c r="F149" i="1" l="1"/>
  <c r="N68" i="1"/>
  <c r="N69" i="1"/>
  <c r="N71" i="1"/>
  <c r="N70" i="1"/>
  <c r="CU18" i="1"/>
  <c r="CU9" i="1"/>
  <c r="Q55" i="1" l="1"/>
  <c r="F151" i="1"/>
  <c r="E144" i="1"/>
  <c r="E148" i="1"/>
  <c r="E143" i="1"/>
  <c r="E121" i="1"/>
  <c r="E146" i="1"/>
  <c r="E116" i="1"/>
  <c r="E114" i="1"/>
  <c r="F141" i="1"/>
  <c r="E108" i="1"/>
  <c r="F152" i="1"/>
  <c r="E119" i="1"/>
  <c r="E142" i="1"/>
  <c r="E151" i="1"/>
  <c r="F147" i="1"/>
  <c r="E150" i="1"/>
  <c r="F120" i="1"/>
  <c r="F114" i="1"/>
  <c r="E152" i="1"/>
  <c r="F121" i="1"/>
  <c r="F150" i="1"/>
  <c r="F117" i="1"/>
  <c r="F144" i="1"/>
  <c r="E112" i="1"/>
  <c r="F110" i="1"/>
  <c r="E147" i="1"/>
  <c r="E141" i="1"/>
  <c r="F143" i="1"/>
  <c r="E149" i="1"/>
  <c r="F146" i="1"/>
  <c r="F115" i="1"/>
  <c r="E117" i="1"/>
  <c r="F112" i="1"/>
  <c r="F119" i="1"/>
  <c r="F108" i="1"/>
  <c r="E120" i="1"/>
  <c r="F109" i="1"/>
  <c r="E110" i="1"/>
  <c r="E113" i="1"/>
  <c r="F142" i="1"/>
  <c r="F148" i="1"/>
  <c r="F145" i="1"/>
  <c r="E145" i="1"/>
  <c r="F113" i="1"/>
  <c r="E118" i="1"/>
  <c r="E115" i="1"/>
  <c r="E109" i="1"/>
  <c r="E111" i="1"/>
  <c r="F118" i="1"/>
  <c r="F111" i="1"/>
  <c r="F1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<sst xmlns="http://schemas.openxmlformats.org/spreadsheetml/2006/main" count="522" uniqueCount="234">
  <si>
    <t>99:99:99</t>
  </si>
  <si>
    <t>C2</t>
  </si>
  <si>
    <t xml:space="preserve"> </t>
  </si>
  <si>
    <t>C1</t>
  </si>
  <si>
    <t>capacitancia</t>
  </si>
  <si>
    <t>DIST TRAV</t>
  </si>
  <si>
    <t>Energia</t>
  </si>
  <si>
    <t>ARMAÇÃO DO CIRCUITO</t>
  </si>
  <si>
    <t>pilha</t>
  </si>
  <si>
    <t>carregar capacitor</t>
  </si>
  <si>
    <t>dist</t>
  </si>
  <si>
    <t>mm</t>
  </si>
  <si>
    <t>E_o</t>
  </si>
  <si>
    <t>V</t>
  </si>
  <si>
    <t>E</t>
  </si>
  <si>
    <t>PARTE 1</t>
  </si>
  <si>
    <t xml:space="preserve">caso2: carregando </t>
  </si>
  <si>
    <t xml:space="preserve">m </t>
  </si>
  <si>
    <t>F</t>
  </si>
  <si>
    <t>pF</t>
  </si>
  <si>
    <t>C</t>
  </si>
  <si>
    <t>x</t>
  </si>
  <si>
    <t>y</t>
  </si>
  <si>
    <t>H1</t>
  </si>
  <si>
    <t>X</t>
  </si>
  <si>
    <t>Y</t>
  </si>
  <si>
    <t>H2</t>
  </si>
  <si>
    <t>pilha1</t>
  </si>
  <si>
    <t>tempo</t>
  </si>
  <si>
    <t>caso3: estacionario</t>
  </si>
  <si>
    <t>caso1: descarregando</t>
  </si>
  <si>
    <t>área</t>
  </si>
  <si>
    <t>mm^2</t>
  </si>
  <si>
    <t>v_voltimetro</t>
  </si>
  <si>
    <t>v</t>
  </si>
  <si>
    <t>ponto medio</t>
  </si>
  <si>
    <t>pilha2</t>
  </si>
  <si>
    <t>todos falsos</t>
  </si>
  <si>
    <t>m^2</t>
  </si>
  <si>
    <t>grafico capact</t>
  </si>
  <si>
    <t>V_0</t>
  </si>
  <si>
    <t>para o vba</t>
  </si>
  <si>
    <t>R</t>
  </si>
  <si>
    <t>ohm</t>
  </si>
  <si>
    <t>V1</t>
  </si>
  <si>
    <t>V2</t>
  </si>
  <si>
    <t>PARA O VOLT DIGIT</t>
  </si>
  <si>
    <t>carga</t>
  </si>
  <si>
    <t>rolagem</t>
  </si>
  <si>
    <t>descarga</t>
  </si>
  <si>
    <t>ddp</t>
  </si>
  <si>
    <t>DDP TRAVADA</t>
  </si>
  <si>
    <t>V_def</t>
  </si>
  <si>
    <t>H3</t>
  </si>
  <si>
    <t>H4</t>
  </si>
  <si>
    <t>div/4</t>
  </si>
  <si>
    <t>Raios extremos para c1</t>
  </si>
  <si>
    <t>raios do capacitor</t>
  </si>
  <si>
    <t>distancia</t>
  </si>
  <si>
    <t>J</t>
  </si>
  <si>
    <t>c/ 2 casas</t>
  </si>
  <si>
    <t>Raios extremos para c2</t>
  </si>
  <si>
    <t>dist extremos</t>
  </si>
  <si>
    <t xml:space="preserve">para o caso positivo </t>
  </si>
  <si>
    <t>descarga do capacitor</t>
  </si>
  <si>
    <t>pJ</t>
  </si>
  <si>
    <t>raios ligados</t>
  </si>
  <si>
    <t>raio1</t>
  </si>
  <si>
    <t>raio1.1</t>
  </si>
  <si>
    <t>raio1_desc</t>
  </si>
  <si>
    <t>raio1.1_desc</t>
  </si>
  <si>
    <t>CHAVE1</t>
  </si>
  <si>
    <t>absoluto</t>
  </si>
  <si>
    <t>tal</t>
  </si>
  <si>
    <t>temporizador</t>
  </si>
  <si>
    <t>parte positivo</t>
  </si>
  <si>
    <t xml:space="preserve">+ + + + + + + + </t>
  </si>
  <si>
    <t>raio2</t>
  </si>
  <si>
    <t>raio2.1</t>
  </si>
  <si>
    <t>raio med</t>
  </si>
  <si>
    <t>raio2_desc</t>
  </si>
  <si>
    <t>raio2.1_desc</t>
  </si>
  <si>
    <t>voltimetro</t>
  </si>
  <si>
    <t>condição</t>
  </si>
  <si>
    <t>t</t>
  </si>
  <si>
    <t>C3</t>
  </si>
  <si>
    <t>parte negativo</t>
  </si>
  <si>
    <t xml:space="preserve">- - - - - - - - - - </t>
  </si>
  <si>
    <t>PRE-CHAVE1</t>
  </si>
  <si>
    <t>PRE-CHAVE2</t>
  </si>
  <si>
    <t>C4</t>
  </si>
  <si>
    <t>cima</t>
  </si>
  <si>
    <t>direito</t>
  </si>
  <si>
    <t>baixo</t>
  </si>
  <si>
    <t>raio3</t>
  </si>
  <si>
    <t>DESLOC</t>
  </si>
  <si>
    <t>raio3.1</t>
  </si>
  <si>
    <t>raio3_desc</t>
  </si>
  <si>
    <t>raio3.1_desc</t>
  </si>
  <si>
    <t>esquerda</t>
  </si>
  <si>
    <t>raio4</t>
  </si>
  <si>
    <t>raio4.1</t>
  </si>
  <si>
    <t>raio4_desc</t>
  </si>
  <si>
    <t>raio4.1_desc</t>
  </si>
  <si>
    <t>meio</t>
  </si>
  <si>
    <t>BASE DAS PLACAS DO CAPACITOR</t>
  </si>
  <si>
    <t>para o caso negativo</t>
  </si>
  <si>
    <t>raio med_desc</t>
  </si>
  <si>
    <t>CHAVE2</t>
  </si>
  <si>
    <t>área da interface oculta</t>
  </si>
  <si>
    <t>intervalo positivo</t>
  </si>
  <si>
    <t>condi 2</t>
  </si>
  <si>
    <t>condição temp</t>
  </si>
  <si>
    <t>Criar intervalo</t>
  </si>
  <si>
    <t>cond 2</t>
  </si>
  <si>
    <t>int1</t>
  </si>
  <si>
    <t>c1</t>
  </si>
  <si>
    <t>interv total</t>
  </si>
  <si>
    <t>condição dentro do interalo</t>
  </si>
  <si>
    <t>sombra da luz</t>
  </si>
  <si>
    <t>int2</t>
  </si>
  <si>
    <t>c2</t>
  </si>
  <si>
    <t>int3</t>
  </si>
  <si>
    <t>c3</t>
  </si>
  <si>
    <t>sombra 1</t>
  </si>
  <si>
    <t>int4</t>
  </si>
  <si>
    <t>c4</t>
  </si>
  <si>
    <t>sombra 2</t>
  </si>
  <si>
    <t>razao</t>
  </si>
  <si>
    <t>intervalo de ddp</t>
  </si>
  <si>
    <t>opc</t>
  </si>
  <si>
    <t>lampada gráfico</t>
  </si>
  <si>
    <t>Raios da  lampada</t>
  </si>
  <si>
    <t/>
  </si>
  <si>
    <t>caso1</t>
  </si>
  <si>
    <t>caso2</t>
  </si>
  <si>
    <t>caso3</t>
  </si>
  <si>
    <t>fundo da lampada</t>
  </si>
  <si>
    <t>caso para todos falsos</t>
  </si>
  <si>
    <t>caso4</t>
  </si>
  <si>
    <t>modulo da ddp</t>
  </si>
  <si>
    <t>CHAVE SELETORA DO MULTIMETRO</t>
  </si>
  <si>
    <t>Chave seletora</t>
  </si>
  <si>
    <t>ddp da pilha</t>
  </si>
  <si>
    <t>MULT 1</t>
  </si>
  <si>
    <t>MULT1</t>
  </si>
  <si>
    <t>Condição</t>
  </si>
  <si>
    <t>P1</t>
  </si>
  <si>
    <t>OFF</t>
  </si>
  <si>
    <t>botões</t>
  </si>
  <si>
    <t>Vert  +</t>
  </si>
  <si>
    <t>Escolha</t>
  </si>
  <si>
    <t>tempo para que descarregue é de 10s</t>
  </si>
  <si>
    <t>pontas de prova</t>
  </si>
  <si>
    <t>P2</t>
  </si>
  <si>
    <t>Erro</t>
  </si>
  <si>
    <t>SAIDA</t>
  </si>
  <si>
    <t>intervalo</t>
  </si>
  <si>
    <t>ddp da lampada</t>
  </si>
  <si>
    <t>P3</t>
  </si>
  <si>
    <t>inicio</t>
  </si>
  <si>
    <t>P4</t>
  </si>
  <si>
    <t>razão</t>
  </si>
  <si>
    <t>fim</t>
  </si>
  <si>
    <t>P5</t>
  </si>
  <si>
    <t xml:space="preserve">definitivo </t>
  </si>
  <si>
    <t>P6</t>
  </si>
  <si>
    <t>Horizt +</t>
  </si>
  <si>
    <t>P7</t>
  </si>
  <si>
    <t>r5</t>
  </si>
  <si>
    <t>graus</t>
  </si>
  <si>
    <t>partes</t>
  </si>
  <si>
    <t>P8</t>
  </si>
  <si>
    <t>P9</t>
  </si>
  <si>
    <t>raio</t>
  </si>
  <si>
    <t>P10</t>
  </si>
  <si>
    <t>P11</t>
  </si>
  <si>
    <t>Vert  -</t>
  </si>
  <si>
    <t>P12</t>
  </si>
  <si>
    <t>P13</t>
  </si>
  <si>
    <t>P14</t>
  </si>
  <si>
    <t>raio 2</t>
  </si>
  <si>
    <t>ddp da pilha para a interface</t>
  </si>
  <si>
    <t>P15</t>
  </si>
  <si>
    <t>alg sig</t>
  </si>
  <si>
    <t>P16</t>
  </si>
  <si>
    <t>Horizt -</t>
  </si>
  <si>
    <t>P17</t>
  </si>
  <si>
    <t>P18</t>
  </si>
  <si>
    <t>P19</t>
  </si>
  <si>
    <t>Somente</t>
  </si>
  <si>
    <t>P20</t>
  </si>
  <si>
    <t>preto</t>
  </si>
  <si>
    <t>vermelho</t>
  </si>
  <si>
    <t>p1</t>
  </si>
  <si>
    <t>v1</t>
  </si>
  <si>
    <t>p2(curva)</t>
  </si>
  <si>
    <t>v2(curva)</t>
  </si>
  <si>
    <t>p3</t>
  </si>
  <si>
    <t>v3</t>
  </si>
  <si>
    <t>ponta preta</t>
  </si>
  <si>
    <t>ponta vermelha</t>
  </si>
  <si>
    <t>CANCELADA ESSA SEÇÃO</t>
  </si>
  <si>
    <t>raios da lampada</t>
  </si>
  <si>
    <t>condição pra acender</t>
  </si>
  <si>
    <t xml:space="preserve">tamanho </t>
  </si>
  <si>
    <t>raio5</t>
  </si>
  <si>
    <t>raio6</t>
  </si>
  <si>
    <t>central</t>
  </si>
  <si>
    <t>sup</t>
  </si>
  <si>
    <t>inf</t>
  </si>
  <si>
    <t>med sup</t>
  </si>
  <si>
    <t>med inf</t>
  </si>
  <si>
    <t>raio7</t>
  </si>
  <si>
    <t>med sup -</t>
  </si>
  <si>
    <t>med inf -</t>
  </si>
  <si>
    <t>ang</t>
  </si>
  <si>
    <t>modelos</t>
  </si>
  <si>
    <t>fundo amarelo</t>
  </si>
  <si>
    <t>bola</t>
  </si>
  <si>
    <t>SEGUNDO MODELO PARA RAIOS MENORES</t>
  </si>
  <si>
    <t>RAIO 1.1</t>
  </si>
  <si>
    <t>RAIO 2.1</t>
  </si>
  <si>
    <t>RAIO 3.1</t>
  </si>
  <si>
    <t>RAIO 4.1</t>
  </si>
  <si>
    <t>RAIO 5.1</t>
  </si>
  <si>
    <t>RAIO 6.1</t>
  </si>
  <si>
    <t>ddp modulo</t>
  </si>
  <si>
    <t>modulo ddp</t>
  </si>
  <si>
    <t>ambiente grafico</t>
  </si>
  <si>
    <t>t  (nS)</t>
  </si>
  <si>
    <t>V (V)</t>
  </si>
  <si>
    <t xml:space="preserve">       Caparitância</t>
  </si>
  <si>
    <t xml:space="preserve">       ddp da pilha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</si>
</sst>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h:mm:ss\ AM/PM;@"/>
  </numFmts>
  <fonts count="19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2"/>
      <name val="Calibri"/>
      <family val="2"/>
      <scheme val="minor"/>
    </font>
    <font>
      <sz val="11"/>
      <color theme="1"/>
      <name val="AIGDT"/>
      <charset val="2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8303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C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18" fontId="0" fillId="0" borderId="0" xfId="0" applyNumberFormat="1"/>
    <xf numFmtId="21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0" xfId="0" quotePrefix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1" fillId="0" borderId="4" xfId="0" applyFont="1" applyBorder="1" applyAlignment="1">
      <alignment horizontal="center"/>
    </xf>
    <xf numFmtId="0" fontId="0" fillId="0" borderId="8" xfId="0" applyBorder="1"/>
    <xf numFmtId="0" fontId="0" fillId="0" borderId="3" xfId="0" applyBorder="1"/>
    <xf numFmtId="0" fontId="0" fillId="0" borderId="5" xfId="0" applyBorder="1"/>
    <xf numFmtId="0" fontId="0" fillId="0" borderId="9" xfId="0" applyBorder="1"/>
    <xf numFmtId="0" fontId="0" fillId="0" borderId="7" xfId="0" applyBorder="1"/>
    <xf numFmtId="0" fontId="0" fillId="0" borderId="0" xfId="0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/>
    <xf numFmtId="164" fontId="0" fillId="0" borderId="0" xfId="0" applyNumberForma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0" fillId="2" borderId="4" xfId="0" applyFill="1" applyBorder="1"/>
    <xf numFmtId="0" fontId="0" fillId="5" borderId="0" xfId="0" applyFill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0" fillId="2" borderId="2" xfId="0" applyFill="1" applyBorder="1"/>
    <xf numFmtId="0" fontId="0" fillId="2" borderId="8" xfId="0" applyFill="1" applyBorder="1"/>
    <xf numFmtId="0" fontId="0" fillId="2" borderId="0" xfId="0" applyFill="1"/>
    <xf numFmtId="164" fontId="0" fillId="0" borderId="0" xfId="0" applyNumberFormat="1"/>
    <xf numFmtId="0" fontId="0" fillId="7" borderId="1" xfId="0" applyFill="1" applyBorder="1"/>
    <xf numFmtId="0" fontId="0" fillId="0" borderId="1" xfId="0" applyBorder="1" applyAlignment="1">
      <alignment horizontal="center"/>
    </xf>
    <xf numFmtId="0" fontId="0" fillId="0" borderId="10" xfId="0" applyBorder="1"/>
    <xf numFmtId="0" fontId="7" fillId="0" borderId="4" xfId="0" applyFont="1" applyBorder="1"/>
    <xf numFmtId="0" fontId="7" fillId="0" borderId="5" xfId="0" applyFont="1" applyBorder="1"/>
    <xf numFmtId="164" fontId="0" fillId="0" borderId="12" xfId="0" applyNumberFormat="1" applyBorder="1" applyAlignment="1">
      <alignment horizontal="center"/>
    </xf>
    <xf numFmtId="18" fontId="0" fillId="0" borderId="1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9" borderId="0" xfId="0" applyFill="1"/>
    <xf numFmtId="0" fontId="0" fillId="0" borderId="13" xfId="0" applyBorder="1"/>
    <xf numFmtId="0" fontId="0" fillId="0" borderId="14" xfId="0" applyBorder="1"/>
    <xf numFmtId="0" fontId="0" fillId="8" borderId="2" xfId="0" applyFill="1" applyBorder="1"/>
    <xf numFmtId="0" fontId="0" fillId="8" borderId="8" xfId="0" applyFill="1" applyBorder="1"/>
    <xf numFmtId="0" fontId="7" fillId="0" borderId="0" xfId="0" applyFont="1"/>
    <xf numFmtId="0" fontId="0" fillId="4" borderId="12" xfId="0" applyFill="1" applyBorder="1"/>
    <xf numFmtId="0" fontId="0" fillId="5" borderId="12" xfId="0" applyFill="1" applyBorder="1"/>
    <xf numFmtId="0" fontId="0" fillId="10" borderId="12" xfId="0" applyFill="1" applyBorder="1"/>
    <xf numFmtId="0" fontId="0" fillId="11" borderId="12" xfId="0" applyFill="1" applyBorder="1"/>
    <xf numFmtId="0" fontId="0" fillId="11" borderId="11" xfId="0" applyFill="1" applyBorder="1"/>
    <xf numFmtId="0" fontId="0" fillId="11" borderId="2" xfId="0" applyFill="1" applyBorder="1"/>
    <xf numFmtId="0" fontId="0" fillId="11" borderId="8" xfId="0" applyFill="1" applyBorder="1"/>
    <xf numFmtId="0" fontId="4" fillId="12" borderId="10" xfId="0" applyFont="1" applyFill="1" applyBorder="1" applyAlignment="1">
      <alignment horizontal="center"/>
    </xf>
    <xf numFmtId="0" fontId="8" fillId="0" borderId="2" xfId="0" applyFont="1" applyBorder="1"/>
    <xf numFmtId="0" fontId="0" fillId="13" borderId="8" xfId="0" applyFill="1" applyBorder="1"/>
    <xf numFmtId="0" fontId="0" fillId="10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1" borderId="0" xfId="0" applyFill="1"/>
    <xf numFmtId="0" fontId="0" fillId="14" borderId="12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/>
    <xf numFmtId="0" fontId="9" fillId="0" borderId="1" xfId="0" applyFont="1" applyBorder="1"/>
    <xf numFmtId="0" fontId="0" fillId="2" borderId="10" xfId="0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0" fillId="2" borderId="0" xfId="0" applyNumberFormat="1" applyFill="1"/>
    <xf numFmtId="0" fontId="0" fillId="15" borderId="8" xfId="0" applyFill="1" applyBorder="1"/>
    <xf numFmtId="0" fontId="0" fillId="15" borderId="3" xfId="0" applyFill="1" applyBorder="1"/>
    <xf numFmtId="0" fontId="1" fillId="15" borderId="2" xfId="0" applyFont="1" applyFill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0" fillId="15" borderId="13" xfId="0" applyFill="1" applyBorder="1"/>
    <xf numFmtId="0" fontId="6" fillId="15" borderId="14" xfId="0" applyFont="1" applyFill="1" applyBorder="1"/>
    <xf numFmtId="0" fontId="0" fillId="16" borderId="0" xfId="0" applyFill="1"/>
    <xf numFmtId="0" fontId="0" fillId="16" borderId="5" xfId="0" applyFill="1" applyBorder="1"/>
    <xf numFmtId="0" fontId="0" fillId="16" borderId="9" xfId="0" applyFill="1" applyBorder="1"/>
    <xf numFmtId="0" fontId="4" fillId="16" borderId="0" xfId="0" applyFont="1" applyFill="1" applyAlignment="1">
      <alignment horizontal="center"/>
    </xf>
    <xf numFmtId="0" fontId="0" fillId="17" borderId="8" xfId="0" applyFill="1" applyBorder="1"/>
    <xf numFmtId="0" fontId="1" fillId="0" borderId="0" xfId="0" applyFont="1" applyAlignment="1">
      <alignment horizontal="center"/>
    </xf>
    <xf numFmtId="0" fontId="5" fillId="0" borderId="2" xfId="0" applyFont="1" applyBorder="1"/>
    <xf numFmtId="0" fontId="5" fillId="0" borderId="0" xfId="0" applyFont="1"/>
    <xf numFmtId="164" fontId="0" fillId="2" borderId="0" xfId="0" applyNumberFormat="1" applyFill="1" applyAlignment="1">
      <alignment horizontal="center"/>
    </xf>
    <xf numFmtId="0" fontId="12" fillId="0" borderId="4" xfId="0" applyFont="1" applyBorder="1"/>
    <xf numFmtId="0" fontId="7" fillId="0" borderId="9" xfId="0" applyFont="1" applyBorder="1"/>
    <xf numFmtId="0" fontId="7" fillId="0" borderId="6" xfId="0" applyFont="1" applyBorder="1"/>
    <xf numFmtId="0" fontId="0" fillId="18" borderId="10" xfId="0" applyFill="1" applyBorder="1"/>
    <xf numFmtId="0" fontId="0" fillId="18" borderId="11" xfId="0" applyFill="1" applyBorder="1"/>
    <xf numFmtId="21" fontId="0" fillId="0" borderId="4" xfId="0" applyNumberFormat="1" applyBorder="1"/>
    <xf numFmtId="0" fontId="0" fillId="0" borderId="15" xfId="0" applyBorder="1"/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7" fillId="11" borderId="1" xfId="0" applyFont="1" applyFill="1" applyBorder="1"/>
    <xf numFmtId="0" fontId="13" fillId="0" borderId="14" xfId="0" applyFont="1" applyBorder="1" applyAlignment="1">
      <alignment horizontal="center"/>
    </xf>
    <xf numFmtId="0" fontId="0" fillId="16" borderId="2" xfId="0" applyFill="1" applyBorder="1"/>
    <xf numFmtId="0" fontId="0" fillId="16" borderId="8" xfId="0" applyFill="1" applyBorder="1"/>
    <xf numFmtId="0" fontId="0" fillId="16" borderId="3" xfId="0" applyFill="1" applyBorder="1"/>
    <xf numFmtId="0" fontId="0" fillId="16" borderId="4" xfId="0" applyFill="1" applyBorder="1"/>
    <xf numFmtId="0" fontId="4" fillId="16" borderId="1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/>
    </xf>
    <xf numFmtId="0" fontId="4" fillId="16" borderId="8" xfId="0" applyFont="1" applyFill="1" applyBorder="1" applyAlignment="1">
      <alignment horizontal="center"/>
    </xf>
    <xf numFmtId="0" fontId="4" fillId="16" borderId="3" xfId="0" applyFont="1" applyFill="1" applyBorder="1" applyAlignment="1">
      <alignment horizontal="center"/>
    </xf>
    <xf numFmtId="0" fontId="1" fillId="16" borderId="4" xfId="0" applyFont="1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1" fillId="16" borderId="5" xfId="0" applyFont="1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16" borderId="6" xfId="0" applyFill="1" applyBorder="1"/>
    <xf numFmtId="0" fontId="0" fillId="16" borderId="9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1" fillId="16" borderId="0" xfId="0" applyFont="1" applyFill="1"/>
    <xf numFmtId="0" fontId="1" fillId="16" borderId="6" xfId="0" applyFont="1" applyFill="1" applyBorder="1" applyAlignment="1">
      <alignment horizontal="center"/>
    </xf>
    <xf numFmtId="0" fontId="1" fillId="16" borderId="7" xfId="0" applyFont="1" applyFill="1" applyBorder="1" applyAlignment="1">
      <alignment horizontal="center"/>
    </xf>
    <xf numFmtId="0" fontId="0" fillId="16" borderId="13" xfId="0" applyFill="1" applyBorder="1"/>
    <xf numFmtId="0" fontId="0" fillId="16" borderId="14" xfId="0" applyFill="1" applyBorder="1"/>
    <xf numFmtId="0" fontId="0" fillId="16" borderId="7" xfId="0" applyFill="1" applyBorder="1"/>
    <xf numFmtId="0" fontId="15" fillId="16" borderId="2" xfId="0" applyFont="1" applyFill="1" applyBorder="1"/>
    <xf numFmtId="0" fontId="16" fillId="0" borderId="0" xfId="0" applyFont="1"/>
    <xf numFmtId="0" fontId="0" fillId="4" borderId="8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21" fontId="0" fillId="0" borderId="8" xfId="0" applyNumberFormat="1" applyBorder="1"/>
    <xf numFmtId="0" fontId="14" fillId="19" borderId="0" xfId="0" applyFont="1" applyFill="1"/>
    <xf numFmtId="0" fontId="0" fillId="12" borderId="0" xfId="0" applyFill="1" applyAlignment="1">
      <alignment horizontal="center"/>
    </xf>
    <xf numFmtId="0" fontId="0" fillId="19" borderId="0" xfId="0" applyFill="1"/>
    <xf numFmtId="0" fontId="0" fillId="10" borderId="0" xfId="0" applyFill="1"/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1" borderId="6" xfId="0" applyFill="1" applyBorder="1"/>
    <xf numFmtId="0" fontId="0" fillId="11" borderId="9" xfId="0" applyFill="1" applyBorder="1"/>
    <xf numFmtId="0" fontId="0" fillId="11" borderId="7" xfId="0" applyFill="1" applyBorder="1"/>
    <xf numFmtId="0" fontId="0" fillId="20" borderId="0" xfId="0" applyFill="1"/>
    <xf numFmtId="0" fontId="4" fillId="22" borderId="13" xfId="0" applyFont="1" applyFill="1" applyBorder="1"/>
    <xf numFmtId="0" fontId="4" fillId="22" borderId="14" xfId="0" applyFont="1" applyFill="1" applyBorder="1"/>
    <xf numFmtId="0" fontId="6" fillId="21" borderId="13" xfId="0" applyFont="1" applyFill="1" applyBorder="1"/>
    <xf numFmtId="0" fontId="6" fillId="21" borderId="14" xfId="0" applyFont="1" applyFill="1" applyBorder="1"/>
    <xf numFmtId="0" fontId="5" fillId="18" borderId="13" xfId="0" applyFont="1" applyFill="1" applyBorder="1" applyAlignment="1">
      <alignment horizontal="center"/>
    </xf>
    <xf numFmtId="0" fontId="1" fillId="18" borderId="14" xfId="0" applyFont="1" applyFill="1" applyBorder="1"/>
    <xf numFmtId="0" fontId="10" fillId="9" borderId="0" xfId="0" applyFont="1" applyFill="1" applyProtection="1">
      <protection locked="0" hidden="1"/>
    </xf>
    <xf numFmtId="18" fontId="0" fillId="9" borderId="0" xfId="0" applyNumberFormat="1" applyFill="1" applyProtection="1">
      <protection locked="0" hidden="1"/>
    </xf>
    <xf numFmtId="164" fontId="0" fillId="9" borderId="0" xfId="0" applyNumberFormat="1" applyFill="1" applyProtection="1">
      <protection locked="0" hidden="1"/>
    </xf>
    <xf numFmtId="0" fontId="0" fillId="9" borderId="0" xfId="0" applyFill="1" applyProtection="1">
      <protection locked="0" hidden="1"/>
    </xf>
    <xf numFmtId="0" fontId="0" fillId="9" borderId="0" xfId="0" applyFill="1" applyAlignment="1" applyProtection="1">
      <alignment horizontal="center"/>
      <protection locked="0" hidden="1"/>
    </xf>
    <xf numFmtId="0" fontId="0" fillId="9" borderId="0" xfId="0" applyFill="1" applyProtection="1">
      <protection locked="0"/>
    </xf>
    <xf numFmtId="0" fontId="0" fillId="9" borderId="0" xfId="0" applyFill="1" applyAlignment="1" applyProtection="1">
      <alignment horizontal="center"/>
      <protection locked="0"/>
    </xf>
    <xf numFmtId="0" fontId="10" fillId="9" borderId="0" xfId="0" applyFont="1" applyFill="1" applyProtection="1">
      <protection locked="0"/>
    </xf>
    <xf numFmtId="0" fontId="11" fillId="9" borderId="0" xfId="0" applyFont="1" applyFill="1" applyProtection="1">
      <protection locked="0"/>
    </xf>
    <xf numFmtId="0" fontId="18" fillId="9" borderId="0" xfId="0" applyFont="1" applyFill="1" applyProtection="1">
      <protection locked="0"/>
    </xf>
    <xf numFmtId="0" fontId="17" fillId="20" borderId="0" xfId="0" applyFont="1" applyFill="1" applyProtection="1"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  <color rgb="FF009900"/>
      <color rgb="FF33CC33"/>
      <color rgb="FFFF7C8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4" Type="http://schemas.openxmlformats.org/officeDocument/2006/relationships/image" Target="../media/image16.png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836191350903328E-2"/>
          <c:y val="7.4010740548697135E-2"/>
          <c:w val="0.93604361686548854"/>
          <c:h val="0.88294953216954919"/>
        </c:manualLayout>
      </c:layout>
      <c:scatterChart>
        <c:scatterStyle val="lineMarker"/>
        <c:varyColors val="0"/>
        <c:ser>
          <c:idx val="3"/>
          <c:order val="0"/>
          <c:tx>
            <c:strRef>
              <c:f>COD_DESC_CAPACT!$J$12</c:f>
              <c:strCache>
                <c:ptCount val="1"/>
                <c:pt idx="0">
                  <c:v>V2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9525">
                  <a:noFill/>
                </a:ln>
                <a:effectLst/>
              </c:spPr>
            </c:marker>
            <c:bubble3D val="0"/>
            <c:spPr>
              <a:ln w="53975" cap="rnd">
                <a:solidFill>
                  <a:schemeClr val="tx1">
                    <a:alpha val="96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CB4F-4E84-B5E5-F73DF5D0FAC9}"/>
              </c:ext>
            </c:extLst>
          </c:dPt>
          <c:dPt>
            <c:idx val="1"/>
            <c:marker>
              <c:symbol val="circle"/>
              <c:size val="11"/>
              <c:spPr>
                <a:solidFill>
                  <a:schemeClr val="tx1">
                    <a:lumMod val="50000"/>
                    <a:lumOff val="50000"/>
                  </a:schemeClr>
                </a:solidFill>
                <a:ln w="25400">
                  <a:solidFill>
                    <a:schemeClr val="tx1">
                      <a:lumMod val="75000"/>
                      <a:lumOff val="25000"/>
                    </a:schemeClr>
                  </a:solidFill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A-721F-44B5-90A2-DE4A22D5ADB6}"/>
              </c:ext>
            </c:extLst>
          </c:dPt>
          <c:xVal>
            <c:numRef>
              <c:f>COD_DESC_CAPACT!$K$13:$K$14</c:f>
              <c:numCache>
                <c:formatCode>General</c:formatCode>
                <c:ptCount val="2"/>
                <c:pt idx="0">
                  <c:v>8</c:v>
                </c:pt>
                <c:pt idx="1">
                  <c:v>8</c:v>
                </c:pt>
              </c:numCache>
            </c:numRef>
          </c:xVal>
          <c:yVal>
            <c:numRef>
              <c:f>COD_DESC_CAPACT!$L$13:$L$14</c:f>
              <c:numCache>
                <c:formatCode>General</c:formatCode>
                <c:ptCount val="2"/>
                <c:pt idx="0">
                  <c:v>3.625</c:v>
                </c:pt>
                <c:pt idx="1">
                  <c:v>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B4F-4E84-B5E5-F73DF5D0FAC9}"/>
            </c:ext>
          </c:extLst>
        </c:ser>
        <c:ser>
          <c:idx val="11"/>
          <c:order val="1"/>
          <c:tx>
            <c:strRef>
              <c:f>COD_DESC_CAPACT!$AI$28</c:f>
              <c:strCache>
                <c:ptCount val="1"/>
                <c:pt idx="0">
                  <c:v>raio4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COD_DESC_CAPACT!$AJ$29:$AJ$30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COD_DESC_CAPACT!$AK$29:$AK$30</c:f>
              <c:numCache>
                <c:formatCode>General</c:formatCode>
                <c:ptCount val="2"/>
                <c:pt idx="0">
                  <c:v>6.4750000000000005</c:v>
                </c:pt>
                <c:pt idx="1">
                  <c:v>3.9750000000000001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53A-43A4-A05B-B69A197C4F8D}"/>
            </c:ext>
          </c:extLst>
        </c:ser>
        <c:ser>
          <c:idx val="12"/>
          <c:order val="2"/>
          <c:tx>
            <c:strRef>
              <c:f>COD_DESC_CAPACT!$AM$19</c:f>
              <c:strCache>
                <c:ptCount val="1"/>
                <c:pt idx="0">
                  <c:v>raio1.1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COD_DESC_CAPACT!$AN$20:$AN$21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COD_DESC_CAPACT!$AO$20:$AO$21</c:f>
              <c:numCache>
                <c:formatCode>General</c:formatCode>
                <c:ptCount val="2"/>
                <c:pt idx="0">
                  <c:v>6.125</c:v>
                </c:pt>
                <c:pt idx="1">
                  <c:v>3.5249999999999999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E53A-43A4-A05B-B69A197C4F8D}"/>
            </c:ext>
          </c:extLst>
        </c:ser>
        <c:ser>
          <c:idx val="13"/>
          <c:order val="3"/>
          <c:tx>
            <c:strRef>
              <c:f>COD_DESC_CAPACT!$AM$22</c:f>
              <c:strCache>
                <c:ptCount val="1"/>
                <c:pt idx="0">
                  <c:v>raio2.1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COD_DESC_CAPACT!$AN$23:$AN$24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COD_DESC_CAPACT!$AO$23:$AO$24</c:f>
              <c:numCache>
                <c:formatCode>General</c:formatCode>
                <c:ptCount val="2"/>
                <c:pt idx="0">
                  <c:v>6.125</c:v>
                </c:pt>
                <c:pt idx="1">
                  <c:v>3.5249999999999999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E53A-43A4-A05B-B69A197C4F8D}"/>
            </c:ext>
          </c:extLst>
        </c:ser>
        <c:ser>
          <c:idx val="14"/>
          <c:order val="4"/>
          <c:tx>
            <c:strRef>
              <c:f>COD_DESC_CAPACT!$AM$25</c:f>
              <c:strCache>
                <c:ptCount val="1"/>
                <c:pt idx="0">
                  <c:v>raio3.1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COD_DESC_CAPACT!$AN$26:$AN$27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COD_DESC_CAPACT!$AO$26:$AO$27</c:f>
              <c:numCache>
                <c:formatCode>General</c:formatCode>
                <c:ptCount val="2"/>
                <c:pt idx="0">
                  <c:v>6.4749999999999996</c:v>
                </c:pt>
                <c:pt idx="1">
                  <c:v>3.7749999999999999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E53A-43A4-A05B-B69A197C4F8D}"/>
            </c:ext>
          </c:extLst>
        </c:ser>
        <c:ser>
          <c:idx val="15"/>
          <c:order val="5"/>
          <c:tx>
            <c:strRef>
              <c:f>COD_DESC_CAPACT!$AM$28</c:f>
              <c:strCache>
                <c:ptCount val="1"/>
                <c:pt idx="0">
                  <c:v>raio4.1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COD_DESC_CAPACT!$AN$29:$AN$30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COD_DESC_CAPACT!$AO$29:$AO$30</c:f>
              <c:numCache>
                <c:formatCode>General</c:formatCode>
                <c:ptCount val="2"/>
                <c:pt idx="0">
                  <c:v>6.4749999999999996</c:v>
                </c:pt>
                <c:pt idx="1">
                  <c:v>3.7749999999999999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E53A-43A4-A05B-B69A197C4F8D}"/>
            </c:ext>
          </c:extLst>
        </c:ser>
        <c:ser>
          <c:idx val="8"/>
          <c:order val="6"/>
          <c:tx>
            <c:strRef>
              <c:f>COD_DESC_CAPACT!$AI$19</c:f>
              <c:strCache>
                <c:ptCount val="1"/>
                <c:pt idx="0">
                  <c:v>raio1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COD_DESC_CAPACT!$AJ$20:$AJ$21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COD_DESC_CAPACT!$AK$20:$AK$21</c:f>
              <c:numCache>
                <c:formatCode>General</c:formatCode>
                <c:ptCount val="2"/>
                <c:pt idx="0">
                  <c:v>5.9250000000000007</c:v>
                </c:pt>
                <c:pt idx="1">
                  <c:v>3.375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53A-43A4-A05B-B69A197C4F8D}"/>
            </c:ext>
          </c:extLst>
        </c:ser>
        <c:ser>
          <c:idx val="9"/>
          <c:order val="7"/>
          <c:tx>
            <c:strRef>
              <c:f>COD_DESC_CAPACT!$AI$22</c:f>
              <c:strCache>
                <c:ptCount val="1"/>
                <c:pt idx="0">
                  <c:v>raio2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COD_DESC_CAPACT!$AJ$23:$AJ$24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COD_DESC_CAPACT!$AK$23:$AK$24</c:f>
              <c:numCache>
                <c:formatCode>General</c:formatCode>
                <c:ptCount val="2"/>
                <c:pt idx="0">
                  <c:v>5.9250000000000007</c:v>
                </c:pt>
                <c:pt idx="1">
                  <c:v>3.375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53A-43A4-A05B-B69A197C4F8D}"/>
            </c:ext>
          </c:extLst>
        </c:ser>
        <c:ser>
          <c:idx val="10"/>
          <c:order val="8"/>
          <c:tx>
            <c:strRef>
              <c:f>COD_DESC_CAPACT!$AI$25</c:f>
              <c:strCache>
                <c:ptCount val="1"/>
                <c:pt idx="0">
                  <c:v>raio3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COD_DESC_CAPACT!$AJ$26:$AJ$27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COD_DESC_CAPACT!$AK$26:$AK$27</c:f>
              <c:numCache>
                <c:formatCode>General</c:formatCode>
                <c:ptCount val="2"/>
                <c:pt idx="0">
                  <c:v>6.4750000000000005</c:v>
                </c:pt>
                <c:pt idx="1">
                  <c:v>4.0250000000000004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53A-43A4-A05B-B69A197C4F8D}"/>
            </c:ext>
          </c:extLst>
        </c:ser>
        <c:ser>
          <c:idx val="16"/>
          <c:order val="9"/>
          <c:tx>
            <c:strRef>
              <c:f>COD_DESC_CAPACT!$AK$31</c:f>
              <c:strCache>
                <c:ptCount val="1"/>
                <c:pt idx="0">
                  <c:v>raio med</c:v>
                </c:pt>
              </c:strCache>
            </c:strRef>
          </c:tx>
          <c:spPr>
            <a:ln w="25400">
              <a:solidFill>
                <a:srgbClr val="FFCC00"/>
              </a:solidFill>
              <a:headEnd type="none"/>
              <a:tailEnd type="triangle"/>
            </a:ln>
          </c:spPr>
          <c:marker>
            <c:symbol val="none"/>
          </c:marker>
          <c:xVal>
            <c:numRef>
              <c:f>COD_DESC_CAPACT!$AL$32:$AL$33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COD_DESC_CAPACT!$AM$32:$AM$33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E53A-43A4-A05B-B69A197C4F8D}"/>
            </c:ext>
          </c:extLst>
        </c:ser>
        <c:ser>
          <c:idx val="17"/>
          <c:order val="10"/>
          <c:tx>
            <c:strRef>
              <c:f>COD_DESC_CAPACT!$BF$19</c:f>
              <c:strCache>
                <c:ptCount val="1"/>
                <c:pt idx="0">
                  <c:v>raio1_desc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COD_DESC_CAPACT!$BG$20:$BG$21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COD_DESC_CAPACT!$BH$20:$BH$21</c:f>
              <c:numCache>
                <c:formatCode>General</c:formatCode>
                <c:ptCount val="2"/>
                <c:pt idx="0">
                  <c:v>5.9250000000000007</c:v>
                </c:pt>
                <c:pt idx="1">
                  <c:v>3.375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6A7-4F61-96EE-B2C6D03AECE4}"/>
            </c:ext>
          </c:extLst>
        </c:ser>
        <c:ser>
          <c:idx val="18"/>
          <c:order val="11"/>
          <c:tx>
            <c:strRef>
              <c:f>COD_DESC_CAPACT!$BF$22</c:f>
              <c:strCache>
                <c:ptCount val="1"/>
                <c:pt idx="0">
                  <c:v>raio2_desc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COD_DESC_CAPACT!$BG$23:$BG$24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COD_DESC_CAPACT!$BH$23:$BH$24</c:f>
              <c:numCache>
                <c:formatCode>General</c:formatCode>
                <c:ptCount val="2"/>
                <c:pt idx="0">
                  <c:v>5.9250000000000007</c:v>
                </c:pt>
                <c:pt idx="1">
                  <c:v>3.375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6A7-4F61-96EE-B2C6D03AECE4}"/>
            </c:ext>
          </c:extLst>
        </c:ser>
        <c:ser>
          <c:idx val="19"/>
          <c:order val="12"/>
          <c:tx>
            <c:strRef>
              <c:f>COD_DESC_CAPACT!$BF$25</c:f>
              <c:strCache>
                <c:ptCount val="1"/>
                <c:pt idx="0">
                  <c:v>raio3_desc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COD_DESC_CAPACT!$BG$26:$BG$27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COD_DESC_CAPACT!$BH$26:$BH$27</c:f>
              <c:numCache>
                <c:formatCode>General</c:formatCode>
                <c:ptCount val="2"/>
                <c:pt idx="0">
                  <c:v>6.4750000000000005</c:v>
                </c:pt>
                <c:pt idx="1">
                  <c:v>3.875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6A7-4F61-96EE-B2C6D03AECE4}"/>
            </c:ext>
          </c:extLst>
        </c:ser>
        <c:ser>
          <c:idx val="20"/>
          <c:order val="13"/>
          <c:tx>
            <c:strRef>
              <c:f>COD_DESC_CAPACT!$BF$28</c:f>
              <c:strCache>
                <c:ptCount val="1"/>
                <c:pt idx="0">
                  <c:v>raio4_desc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COD_DESC_CAPACT!$BG$29:$BG$30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COD_DESC_CAPACT!$BH$29:$BH$30</c:f>
              <c:numCache>
                <c:formatCode>General</c:formatCode>
                <c:ptCount val="2"/>
                <c:pt idx="0">
                  <c:v>6.4750000000000005</c:v>
                </c:pt>
                <c:pt idx="1">
                  <c:v>3.875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6A7-4F61-96EE-B2C6D03AECE4}"/>
            </c:ext>
          </c:extLst>
        </c:ser>
        <c:ser>
          <c:idx val="21"/>
          <c:order val="14"/>
          <c:tx>
            <c:strRef>
              <c:f>COD_DESC_CAPACT!$BJ$19</c:f>
              <c:strCache>
                <c:ptCount val="1"/>
                <c:pt idx="0">
                  <c:v>raio1.1_desc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COD_DESC_CAPACT!$BK$20:$BK$21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COD_DESC_CAPACT!$BL$20:$BL$21</c:f>
              <c:numCache>
                <c:formatCode>General</c:formatCode>
                <c:ptCount val="2"/>
                <c:pt idx="0">
                  <c:v>6.125</c:v>
                </c:pt>
                <c:pt idx="1">
                  <c:v>3.5249999999999999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E6A7-4F61-96EE-B2C6D03AECE4}"/>
            </c:ext>
          </c:extLst>
        </c:ser>
        <c:ser>
          <c:idx val="22"/>
          <c:order val="15"/>
          <c:tx>
            <c:strRef>
              <c:f>COD_DESC_CAPACT!$BJ$22</c:f>
              <c:strCache>
                <c:ptCount val="1"/>
                <c:pt idx="0">
                  <c:v>raio2.1_desc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COD_DESC_CAPACT!$BK$23:$BK$24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COD_DESC_CAPACT!$BL$23:$BL$24</c:f>
              <c:numCache>
                <c:formatCode>General</c:formatCode>
                <c:ptCount val="2"/>
                <c:pt idx="0">
                  <c:v>6.125</c:v>
                </c:pt>
                <c:pt idx="1">
                  <c:v>3.5249999999999999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E6A7-4F61-96EE-B2C6D03AECE4}"/>
            </c:ext>
          </c:extLst>
        </c:ser>
        <c:ser>
          <c:idx val="23"/>
          <c:order val="16"/>
          <c:tx>
            <c:strRef>
              <c:f>COD_DESC_CAPACT!$BJ$25</c:f>
              <c:strCache>
                <c:ptCount val="1"/>
                <c:pt idx="0">
                  <c:v>raio3.1_desc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COD_DESC_CAPACT!$BK$26:$BK$27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COD_DESC_CAPACT!$BL$26:$BL$27</c:f>
              <c:numCache>
                <c:formatCode>General</c:formatCode>
                <c:ptCount val="2"/>
                <c:pt idx="0">
                  <c:v>6.4749999999999996</c:v>
                </c:pt>
                <c:pt idx="1">
                  <c:v>3.7749999999999999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E6A7-4F61-96EE-B2C6D03AECE4}"/>
            </c:ext>
          </c:extLst>
        </c:ser>
        <c:ser>
          <c:idx val="24"/>
          <c:order val="17"/>
          <c:tx>
            <c:strRef>
              <c:f>COD_DESC_CAPACT!$BJ$28</c:f>
              <c:strCache>
                <c:ptCount val="1"/>
                <c:pt idx="0">
                  <c:v>raio4.1_desc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COD_DESC_CAPACT!$BK$29:$BK$30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COD_DESC_CAPACT!$BL$29:$BL$30</c:f>
              <c:numCache>
                <c:formatCode>General</c:formatCode>
                <c:ptCount val="2"/>
                <c:pt idx="0">
                  <c:v>6.4749999999999996</c:v>
                </c:pt>
                <c:pt idx="1">
                  <c:v>3.7749999999999999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E6A7-4F61-96EE-B2C6D03AECE4}"/>
            </c:ext>
          </c:extLst>
        </c:ser>
        <c:ser>
          <c:idx val="25"/>
          <c:order val="18"/>
          <c:tx>
            <c:strRef>
              <c:f>COD_DESC_CAPACT!$BH$31</c:f>
              <c:strCache>
                <c:ptCount val="1"/>
                <c:pt idx="0">
                  <c:v>raio med_desc</c:v>
                </c:pt>
              </c:strCache>
            </c:strRef>
          </c:tx>
          <c:spPr>
            <a:ln w="25400">
              <a:solidFill>
                <a:srgbClr val="FFCC00"/>
              </a:solidFill>
              <a:headEnd type="triangle"/>
            </a:ln>
          </c:spPr>
          <c:marker>
            <c:symbol val="none"/>
          </c:marker>
          <c:xVal>
            <c:numRef>
              <c:f>COD_DESC_CAPACT!$BI$32:$BI$33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COD_DESC_CAPACT!$BJ$32:$BJ$33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E6A7-4F61-96EE-B2C6D03AECE4}"/>
            </c:ext>
          </c:extLst>
        </c:ser>
        <c:ser>
          <c:idx val="2"/>
          <c:order val="19"/>
          <c:tx>
            <c:strRef>
              <c:f>COD_DESC_CAPACT!$F$12</c:f>
              <c:strCache>
                <c:ptCount val="1"/>
                <c:pt idx="0">
                  <c:v>V1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CB4F-4E84-B5E5-F73DF5D0FAC9}"/>
              </c:ext>
            </c:extLst>
          </c:dPt>
          <c:xVal>
            <c:numRef>
              <c:f>COD_DESC_CAPACT!$G$13:$G$14</c:f>
              <c:numCache>
                <c:formatCode>General</c:formatCode>
                <c:ptCount val="2"/>
                <c:pt idx="0">
                  <c:v>8</c:v>
                </c:pt>
                <c:pt idx="1">
                  <c:v>8</c:v>
                </c:pt>
              </c:numCache>
            </c:numRef>
          </c:xVal>
          <c:yVal>
            <c:numRef>
              <c:f>COD_DESC_CAPACT!$H$13:$H$14</c:f>
              <c:numCache>
                <c:formatCode>General</c:formatCode>
                <c:ptCount val="2"/>
                <c:pt idx="0">
                  <c:v>8</c:v>
                </c:pt>
                <c:pt idx="1">
                  <c:v>6.1750000000000007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B4F-4E84-B5E5-F73DF5D0FAC9}"/>
            </c:ext>
          </c:extLst>
        </c:ser>
        <c:ser>
          <c:idx val="0"/>
          <c:order val="20"/>
          <c:tx>
            <c:strRef>
              <c:f>COD_DESC_CAPACT!$F$8</c:f>
              <c:strCache>
                <c:ptCount val="1"/>
                <c:pt idx="0">
                  <c:v>H1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circle"/>
              <c:size val="10"/>
              <c:spPr>
                <a:solidFill>
                  <a:schemeClr val="tx1">
                    <a:lumMod val="50000"/>
                    <a:lumOff val="50000"/>
                  </a:schemeClr>
                </a:solidFill>
                <a:ln w="25400">
                  <a:solidFill>
                    <a:schemeClr val="tx1">
                      <a:lumMod val="75000"/>
                      <a:lumOff val="25000"/>
                    </a:schemeClr>
                  </a:solidFill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8122-4849-8DFB-9E96696770C9}"/>
              </c:ext>
            </c:extLst>
          </c:dPt>
          <c:xVal>
            <c:numRef>
              <c:f>COD_DESC_CAPACT!$G$9:$G$10</c:f>
              <c:numCache>
                <c:formatCode>General</c:formatCode>
                <c:ptCount val="2"/>
                <c:pt idx="0">
                  <c:v>0.5</c:v>
                </c:pt>
                <c:pt idx="1">
                  <c:v>6</c:v>
                </c:pt>
              </c:numCache>
            </c:numRef>
          </c:xVal>
          <c:yVal>
            <c:numRef>
              <c:f>COD_DESC_CAPACT!$H$9:$H$10</c:f>
              <c:numCache>
                <c:formatCode>General</c:formatCode>
                <c:ptCount val="2"/>
                <c:pt idx="0">
                  <c:v>9</c:v>
                </c:pt>
                <c:pt idx="1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B4F-4E84-B5E5-F73DF5D0FAC9}"/>
            </c:ext>
          </c:extLst>
        </c:ser>
        <c:ser>
          <c:idx val="1"/>
          <c:order val="21"/>
          <c:tx>
            <c:strRef>
              <c:f>COD_DESC_CAPACT!$J$8</c:f>
              <c:strCache>
                <c:ptCount val="1"/>
                <c:pt idx="0">
                  <c:v>H2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circle"/>
              <c:size val="10"/>
              <c:spPr>
                <a:solidFill>
                  <a:schemeClr val="tx1">
                    <a:lumMod val="50000"/>
                    <a:lumOff val="50000"/>
                  </a:schemeClr>
                </a:solidFill>
                <a:ln w="25400">
                  <a:solidFill>
                    <a:schemeClr val="tx1">
                      <a:lumMod val="75000"/>
                      <a:lumOff val="25000"/>
                    </a:schemeClr>
                  </a:solidFill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8122-4849-8DFB-9E96696770C9}"/>
              </c:ext>
            </c:extLst>
          </c:dPt>
          <c:xVal>
            <c:numRef>
              <c:f>COD_DESC_CAPACT!$K$9:$K$10</c:f>
              <c:numCache>
                <c:formatCode>General</c:formatCode>
                <c:ptCount val="2"/>
                <c:pt idx="0">
                  <c:v>0.5</c:v>
                </c:pt>
                <c:pt idx="1">
                  <c:v>6</c:v>
                </c:pt>
              </c:numCache>
            </c:numRef>
          </c:xVal>
          <c:yVal>
            <c:numRef>
              <c:f>COD_DESC_CAPACT!$L$9:$L$10</c:f>
              <c:numCache>
                <c:formatCode>General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B4F-4E84-B5E5-F73DF5D0FAC9}"/>
            </c:ext>
          </c:extLst>
        </c:ser>
        <c:ser>
          <c:idx val="4"/>
          <c:order val="22"/>
          <c:tx>
            <c:strRef>
              <c:f>COD_DESC_CAPACT!$F$16</c:f>
              <c:strCache>
                <c:ptCount val="1"/>
                <c:pt idx="0">
                  <c:v>H3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circle"/>
              <c:size val="10"/>
              <c:spPr>
                <a:solidFill>
                  <a:schemeClr val="tx1">
                    <a:lumMod val="50000"/>
                    <a:lumOff val="50000"/>
                  </a:schemeClr>
                </a:solidFill>
                <a:ln w="25400">
                  <a:solidFill>
                    <a:schemeClr val="tx1">
                      <a:lumMod val="75000"/>
                      <a:lumOff val="25000"/>
                    </a:schemeClr>
                  </a:solidFill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8122-4849-8DFB-9E96696770C9}"/>
              </c:ext>
            </c:extLst>
          </c:dPt>
          <c:xVal>
            <c:numRef>
              <c:f>COD_DESC_CAPACT!$G$17:$G$18</c:f>
              <c:numCache>
                <c:formatCode>General</c:formatCode>
                <c:ptCount val="2"/>
                <c:pt idx="0">
                  <c:v>10</c:v>
                </c:pt>
                <c:pt idx="1">
                  <c:v>16.7</c:v>
                </c:pt>
              </c:numCache>
            </c:numRef>
          </c:xVal>
          <c:yVal>
            <c:numRef>
              <c:f>COD_DESC_CAPACT!$H$17:$H$18</c:f>
              <c:numCache>
                <c:formatCode>General</c:formatCode>
                <c:ptCount val="2"/>
                <c:pt idx="0">
                  <c:v>9</c:v>
                </c:pt>
                <c:pt idx="1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B4F-4E84-B5E5-F73DF5D0FAC9}"/>
            </c:ext>
          </c:extLst>
        </c:ser>
        <c:ser>
          <c:idx val="5"/>
          <c:order val="23"/>
          <c:tx>
            <c:strRef>
              <c:f>COD_DESC_CAPACT!$J$16</c:f>
              <c:strCache>
                <c:ptCount val="1"/>
                <c:pt idx="0">
                  <c:v>H4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circle"/>
              <c:size val="10"/>
              <c:spPr>
                <a:solidFill>
                  <a:schemeClr val="tx1">
                    <a:lumMod val="50000"/>
                    <a:lumOff val="50000"/>
                  </a:schemeClr>
                </a:solidFill>
                <a:ln w="25400">
                  <a:solidFill>
                    <a:schemeClr val="tx1">
                      <a:lumMod val="75000"/>
                      <a:lumOff val="25000"/>
                    </a:schemeClr>
                  </a:solidFill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8122-4849-8DFB-9E96696770C9}"/>
              </c:ext>
            </c:extLst>
          </c:dPt>
          <c:xVal>
            <c:numRef>
              <c:f>COD_DESC_CAPACT!$K$17:$K$18</c:f>
              <c:numCache>
                <c:formatCode>General</c:formatCode>
                <c:ptCount val="2"/>
                <c:pt idx="0">
                  <c:v>10</c:v>
                </c:pt>
                <c:pt idx="1">
                  <c:v>17.2</c:v>
                </c:pt>
              </c:numCache>
            </c:numRef>
          </c:xVal>
          <c:yVal>
            <c:numRef>
              <c:f>COD_DESC_CAPACT!$L$17:$L$18</c:f>
              <c:numCache>
                <c:formatCode>General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CB4F-4E84-B5E5-F73DF5D0FAC9}"/>
            </c:ext>
          </c:extLst>
        </c:ser>
        <c:ser>
          <c:idx val="6"/>
          <c:order val="24"/>
          <c:tx>
            <c:strRef>
              <c:f>COD_DESC_CAPACT!$F$20</c:f>
              <c:strCache>
                <c:ptCount val="1"/>
                <c:pt idx="0">
                  <c:v>CHAVE1</c:v>
                </c:pt>
              </c:strCache>
            </c:strRef>
          </c:tx>
          <c:spPr>
            <a:ln w="53975" cap="rnd">
              <a:solidFill>
                <a:schemeClr val="tx1">
                  <a:lumMod val="95000"/>
                  <a:lumOff val="5000"/>
                </a:schemeClr>
              </a:solidFill>
              <a:round/>
              <a:headEnd type="none"/>
              <a:tailEnd type="triangle"/>
            </a:ln>
            <a:effectLst/>
          </c:spPr>
          <c:marker>
            <c:symbol val="none"/>
          </c:marker>
          <c:dPt>
            <c:idx val="0"/>
            <c:marker>
              <c:symbol val="circle"/>
              <c:size val="10"/>
              <c:spPr>
                <a:solidFill>
                  <a:schemeClr val="tx1">
                    <a:lumMod val="50000"/>
                    <a:lumOff val="50000"/>
                  </a:schemeClr>
                </a:solidFill>
                <a:ln w="25400">
                  <a:solidFill>
                    <a:schemeClr val="tx1">
                      <a:lumMod val="75000"/>
                      <a:lumOff val="25000"/>
                    </a:schemeClr>
                  </a:solidFill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8-A47A-4071-93C3-7141C52AF65C}"/>
              </c:ext>
            </c:extLst>
          </c:dPt>
          <c:xVal>
            <c:numRef>
              <c:f>COD_DESC_CAPACT!$G$21:$G$22</c:f>
              <c:numCache>
                <c:formatCode>General</c:formatCode>
                <c:ptCount val="2"/>
                <c:pt idx="0">
                  <c:v>8</c:v>
                </c:pt>
                <c:pt idx="1">
                  <c:v>6</c:v>
                </c:pt>
              </c:numCache>
            </c:numRef>
          </c:xVal>
          <c:yVal>
            <c:numRef>
              <c:f>COD_DESC_CAPACT!$H$21:$H$22</c:f>
              <c:numCache>
                <c:formatCode>General</c:formatCode>
                <c:ptCount val="2"/>
                <c:pt idx="0">
                  <c:v>8</c:v>
                </c:pt>
                <c:pt idx="1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B4F-4E84-B5E5-F73DF5D0FA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4301584"/>
        <c:axId val="1924302000"/>
        <c:extLst>
          <c:ext xmlns:c15="http://schemas.microsoft.com/office/drawing/2012/chart" uri="{02D57815-91ED-43cb-92C2-25804820EDAC}">
            <c15:filteredScatterSeries>
              <c15:ser>
                <c:idx val="7"/>
                <c:order val="25"/>
                <c:tx>
                  <c:strRef>
                    <c:extLst>
                      <c:ext uri="{02D57815-91ED-43cb-92C2-25804820EDAC}">
                        <c15:formulaRef>
                          <c15:sqref>COD_DESC_CAPACT!$F$32</c15:sqref>
                        </c15:formulaRef>
                      </c:ext>
                    </c:extLst>
                    <c:strCache>
                      <c:ptCount val="1"/>
                      <c:pt idx="0">
                        <c:v>CHAVE2</c:v>
                      </c:pt>
                    </c:strCache>
                  </c:strRef>
                </c:tx>
                <c:spPr>
                  <a:ln w="53975">
                    <a:solidFill>
                      <a:schemeClr val="tx1">
                        <a:lumMod val="95000"/>
                        <a:lumOff val="5000"/>
                      </a:schemeClr>
                    </a:solidFill>
                    <a:headEnd type="none"/>
                    <a:tailEnd type="triangle"/>
                  </a:ln>
                </c:spPr>
                <c:marker>
                  <c:symbol val="none"/>
                </c:marker>
                <c:dPt>
                  <c:idx val="0"/>
                  <c:marker>
                    <c:symbol val="circle"/>
                    <c:size val="10"/>
                    <c:spPr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  <a:ln w="28575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ln>
                    </c:spPr>
                  </c:marker>
                  <c:bubble3D val="0"/>
                  <c:spPr>
                    <a:ln w="53975">
                      <a:solidFill>
                        <a:schemeClr val="tx1"/>
                      </a:solidFill>
                      <a:headEnd type="none"/>
                      <a:tailEnd type="triangle"/>
                    </a:ln>
                  </c:spPr>
                  <c:extLst>
                    <c:ext xmlns:c16="http://schemas.microsoft.com/office/drawing/2014/chart" uri="{C3380CC4-5D6E-409C-BE32-E72D297353CC}">
                      <c16:uniqueId val="{00000007-A47A-4071-93C3-7141C52AF65C}"/>
                    </c:ext>
                  </c:extLst>
                </c:dPt>
                <c:xVal>
                  <c:numRef>
                    <c:extLst>
                      <c:ext uri="{02D57815-91ED-43cb-92C2-25804820EDAC}">
                        <c15:formulaRef>
                          <c15:sqref>COD_DESC_CAPACT!$G$33:$G$34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8</c:v>
                      </c:pt>
                      <c:pt idx="1">
                        <c:v>6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COD_DESC_CAPACT!$H$33:$H$34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1.5</c:v>
                      </c:pt>
                      <c:pt idx="1">
                        <c:v>0.5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A-CB4F-4E84-B5E5-F73DF5D0FAC9}"/>
                  </c:ext>
                </c:extLst>
              </c15:ser>
            </c15:filteredScatterSeries>
          </c:ext>
        </c:extLst>
      </c:scatterChart>
      <c:valAx>
        <c:axId val="1924301584"/>
        <c:scaling>
          <c:orientation val="minMax"/>
          <c:max val="20"/>
          <c:min val="0"/>
        </c:scaling>
        <c:delete val="1"/>
        <c:axPos val="b"/>
        <c:numFmt formatCode="General" sourceLinked="1"/>
        <c:majorTickMark val="none"/>
        <c:minorTickMark val="none"/>
        <c:tickLblPos val="nextTo"/>
        <c:crossAx val="1924302000"/>
        <c:crosses val="autoZero"/>
        <c:crossBetween val="midCat"/>
      </c:valAx>
      <c:valAx>
        <c:axId val="1924302000"/>
        <c:scaling>
          <c:orientation val="minMax"/>
          <c:max val="10"/>
          <c:min val="0"/>
        </c:scaling>
        <c:delete val="1"/>
        <c:axPos val="l"/>
        <c:numFmt formatCode="General" sourceLinked="1"/>
        <c:majorTickMark val="none"/>
        <c:minorTickMark val="none"/>
        <c:tickLblPos val="nextTo"/>
        <c:crossAx val="1924301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437499999999997E-2"/>
          <c:y val="8.4818764743014724E-2"/>
          <c:w val="0.88068827160493823"/>
          <c:h val="0.852047250259456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COD_DESC_CAPACT!$AA$61</c:f>
              <c:strCache>
                <c:ptCount val="1"/>
                <c:pt idx="0">
                  <c:v>raio</c:v>
                </c:pt>
              </c:strCache>
            </c:strRef>
          </c:tx>
          <c:spPr>
            <a:ln w="149225" cap="rnd">
              <a:solidFill>
                <a:schemeClr val="bg2">
                  <a:lumMod val="1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circle"/>
              <c:size val="5"/>
              <c:spPr>
                <a:solidFill>
                  <a:schemeClr val="bg2">
                    <a:lumMod val="50000"/>
                  </a:schemeClr>
                </a:solidFill>
                <a:ln w="19050">
                  <a:solidFill>
                    <a:schemeClr val="tx1">
                      <a:lumMod val="75000"/>
                      <a:lumOff val="25000"/>
                      <a:alpha val="97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0-5C77-4A23-B654-ADE38BA6F00E}"/>
              </c:ext>
            </c:extLst>
          </c:dPt>
          <c:xVal>
            <c:numRef>
              <c:f>COD_DESC_CAPACT!$AA$63:$AA$64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COD_DESC_CAPACT!$AB$63:$AB$64</c:f>
              <c:numCache>
                <c:formatCode>General</c:formatCode>
                <c:ptCount val="2"/>
                <c:pt idx="0">
                  <c:v>0</c:v>
                </c:pt>
                <c:pt idx="1">
                  <c:v>4.5999999999999996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C77-4A23-B654-ADE38BA6F00E}"/>
            </c:ext>
          </c:extLst>
        </c:ser>
        <c:ser>
          <c:idx val="1"/>
          <c:order val="1"/>
          <c:tx>
            <c:strRef>
              <c:f>COD_DESC_CAPACT!$AA$66</c:f>
              <c:strCache>
                <c:ptCount val="1"/>
                <c:pt idx="0">
                  <c:v>raio 2</c:v>
                </c:pt>
              </c:strCache>
            </c:strRef>
          </c:tx>
          <c:spPr>
            <a:ln w="111125" cap="rnd">
              <a:solidFill>
                <a:schemeClr val="bg2">
                  <a:lumMod val="2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COD_DESC_CAPACT!$AA$68:$AA$69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COD_DESC_CAPACT!$AB$68:$AB$69</c:f>
              <c:numCache>
                <c:formatCode>General</c:formatCode>
                <c:ptCount val="2"/>
                <c:pt idx="0">
                  <c:v>0</c:v>
                </c:pt>
                <c:pt idx="1">
                  <c:v>2.9899999999999998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C77-4A23-B654-ADE38BA6F0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326191"/>
        <c:axId val="364157599"/>
      </c:scatterChart>
      <c:valAx>
        <c:axId val="350326191"/>
        <c:scaling>
          <c:orientation val="minMax"/>
          <c:max val="6"/>
          <c:min val="-6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64157599"/>
        <c:crosses val="autoZero"/>
        <c:crossBetween val="midCat"/>
      </c:valAx>
      <c:valAx>
        <c:axId val="364157599"/>
        <c:scaling>
          <c:orientation val="minMax"/>
          <c:max val="6"/>
          <c:min val="-6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50326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85000"/>
        <a:lumOff val="1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COD_DESC_CAPACT!$V$8</c:f>
              <c:strCache>
                <c:ptCount val="1"/>
                <c:pt idx="0">
                  <c:v>pilha1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COD_DESC_CAPACT!$W$9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COD_DESC_CAPACT!$X$9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86-4666-851C-0444F9DE1580}"/>
            </c:ext>
          </c:extLst>
        </c:ser>
        <c:ser>
          <c:idx val="1"/>
          <c:order val="1"/>
          <c:tx>
            <c:strRef>
              <c:f>COD_DESC_CAPACT!$V$10</c:f>
              <c:strCache>
                <c:ptCount val="1"/>
                <c:pt idx="0">
                  <c:v>pilha2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COD_DESC_CAPACT!$W$10</c:f>
              <c:numCache>
                <c:formatCode>General</c:formatCode>
                <c:ptCount val="1"/>
                <c:pt idx="0">
                  <c:v>30</c:v>
                </c:pt>
              </c:numCache>
            </c:numRef>
          </c:xVal>
          <c:yVal>
            <c:numRef>
              <c:f>COD_DESC_CAPACT!$X$10</c:f>
              <c:numCache>
                <c:formatCode>General</c:formatCode>
                <c:ptCount val="1"/>
                <c:pt idx="0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386-4666-851C-0444F9DE15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924992"/>
        <c:axId val="1621939968"/>
      </c:scatterChart>
      <c:valAx>
        <c:axId val="1621924992"/>
        <c:scaling>
          <c:orientation val="minMax"/>
          <c:max val="2"/>
          <c:min val="-2"/>
        </c:scaling>
        <c:delete val="1"/>
        <c:axPos val="b"/>
        <c:numFmt formatCode="General" sourceLinked="1"/>
        <c:majorTickMark val="none"/>
        <c:minorTickMark val="none"/>
        <c:tickLblPos val="nextTo"/>
        <c:crossAx val="1621939968"/>
        <c:crosses val="autoZero"/>
        <c:crossBetween val="midCat"/>
      </c:valAx>
      <c:valAx>
        <c:axId val="1621939968"/>
        <c:scaling>
          <c:orientation val="minMax"/>
          <c:max val="2"/>
          <c:min val="-2"/>
        </c:scaling>
        <c:delete val="1"/>
        <c:axPos val="l"/>
        <c:numFmt formatCode="General" sourceLinked="1"/>
        <c:majorTickMark val="none"/>
        <c:minorTickMark val="none"/>
        <c:tickLblPos val="nextTo"/>
        <c:crossAx val="162192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888888888888889E-2"/>
          <c:y val="3.6839969471901116E-2"/>
          <c:w val="0.92500000000000004"/>
          <c:h val="0.92641834664283984"/>
        </c:manualLayout>
      </c:layout>
      <c:scatterChart>
        <c:scatterStyle val="lineMarker"/>
        <c:varyColors val="0"/>
        <c:ser>
          <c:idx val="0"/>
          <c:order val="0"/>
          <c:tx>
            <c:strRef>
              <c:f>COD_DESC_CAPACT!$B$81</c:f>
              <c:strCache>
                <c:ptCount val="1"/>
                <c:pt idx="0">
                  <c:v>p1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COD_DESC_CAPACT!$C$81:$C$82</c:f>
              <c:numCache>
                <c:formatCode>General</c:formatCode>
                <c:ptCount val="2"/>
                <c:pt idx="0">
                  <c:v>8</c:v>
                </c:pt>
                <c:pt idx="1">
                  <c:v>8</c:v>
                </c:pt>
              </c:numCache>
            </c:numRef>
          </c:xVal>
          <c:yVal>
            <c:numRef>
              <c:f>COD_DESC_CAPACT!$D$81:$D$82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AA6-4734-AC37-E50BB2C9E3E0}"/>
            </c:ext>
          </c:extLst>
        </c:ser>
        <c:ser>
          <c:idx val="1"/>
          <c:order val="1"/>
          <c:tx>
            <c:strRef>
              <c:f>COD_DESC_CAPACT!$B$83</c:f>
              <c:strCache>
                <c:ptCount val="1"/>
                <c:pt idx="0">
                  <c:v>p2(curva)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COD_DESC_CAPACT!$C$83:$C$84</c:f>
              <c:numCache>
                <c:formatCode>General</c:formatCode>
                <c:ptCount val="2"/>
                <c:pt idx="0">
                  <c:v>7.49</c:v>
                </c:pt>
                <c:pt idx="1">
                  <c:v>7.49</c:v>
                </c:pt>
              </c:numCache>
            </c:numRef>
          </c:xVal>
          <c:yVal>
            <c:numRef>
              <c:f>COD_DESC_CAPACT!$D$83:$D$84</c:f>
              <c:numCache>
                <c:formatCode>General</c:formatCode>
                <c:ptCount val="2"/>
                <c:pt idx="0">
                  <c:v>1.98</c:v>
                </c:pt>
                <c:pt idx="1">
                  <c:v>1.98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AA6-4734-AC37-E50BB2C9E3E0}"/>
            </c:ext>
          </c:extLst>
        </c:ser>
        <c:ser>
          <c:idx val="2"/>
          <c:order val="2"/>
          <c:tx>
            <c:strRef>
              <c:f>COD_DESC_CAPACT!$B$85</c:f>
              <c:strCache>
                <c:ptCount val="1"/>
                <c:pt idx="0">
                  <c:v>p3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COD_DESC_CAPACT!$C$85:$C$86</c:f>
              <c:numCache>
                <c:formatCode>General</c:formatCode>
                <c:ptCount val="2"/>
                <c:pt idx="0">
                  <c:v>6.9</c:v>
                </c:pt>
                <c:pt idx="1">
                  <c:v>6.4</c:v>
                </c:pt>
              </c:numCache>
            </c:numRef>
          </c:xVal>
          <c:yVal>
            <c:numRef>
              <c:f>COD_DESC_CAPACT!$D$85:$D$86</c:f>
              <c:numCache>
                <c:formatCode>General</c:formatCode>
                <c:ptCount val="2"/>
                <c:pt idx="0">
                  <c:v>2.9</c:v>
                </c:pt>
                <c:pt idx="1">
                  <c:v>2.9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AA6-4734-AC37-E50BB2C9E3E0}"/>
            </c:ext>
          </c:extLst>
        </c:ser>
        <c:ser>
          <c:idx val="3"/>
          <c:order val="3"/>
          <c:tx>
            <c:strRef>
              <c:f>COD_DESC_CAPACT!$B$87</c:f>
              <c:strCache>
                <c:ptCount val="1"/>
                <c:pt idx="0">
                  <c:v>ponta preta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COD_DESC_CAPACT!$C$87:$C$88</c:f>
              <c:numCache>
                <c:formatCode>General</c:formatCode>
                <c:ptCount val="2"/>
                <c:pt idx="0">
                  <c:v>6.4</c:v>
                </c:pt>
                <c:pt idx="1">
                  <c:v>6.4</c:v>
                </c:pt>
              </c:numCache>
            </c:numRef>
          </c:xVal>
          <c:yVal>
            <c:numRef>
              <c:f>COD_DESC_CAPACT!$D$87:$D$88</c:f>
              <c:numCache>
                <c:formatCode>General</c:formatCode>
                <c:ptCount val="2"/>
                <c:pt idx="0">
                  <c:v>2.9</c:v>
                </c:pt>
                <c:pt idx="1">
                  <c:v>2.9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AA6-4734-AC37-E50BB2C9E3E0}"/>
            </c:ext>
          </c:extLst>
        </c:ser>
        <c:ser>
          <c:idx val="4"/>
          <c:order val="4"/>
          <c:tx>
            <c:strRef>
              <c:f>COD_DESC_CAPACT!$E$81</c:f>
              <c:strCache>
                <c:ptCount val="1"/>
                <c:pt idx="0">
                  <c:v>v1</c:v>
                </c:pt>
              </c:strCache>
            </c:strRef>
          </c:tx>
          <c:spPr>
            <a:ln w="539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COD_DESC_CAPACT!$F$81:$F$82</c:f>
              <c:numCache>
                <c:formatCode>General</c:formatCode>
                <c:ptCount val="2"/>
                <c:pt idx="0">
                  <c:v>9</c:v>
                </c:pt>
                <c:pt idx="1">
                  <c:v>9</c:v>
                </c:pt>
              </c:numCache>
            </c:numRef>
          </c:xVal>
          <c:yVal>
            <c:numRef>
              <c:f>COD_DESC_CAPACT!$G$81:$G$82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AA6-4734-AC37-E50BB2C9E3E0}"/>
            </c:ext>
          </c:extLst>
        </c:ser>
        <c:ser>
          <c:idx val="5"/>
          <c:order val="5"/>
          <c:tx>
            <c:strRef>
              <c:f>COD_DESC_CAPACT!$F$83:$F$84</c:f>
              <c:strCache>
                <c:ptCount val="2"/>
                <c:pt idx="0">
                  <c:v>8,49</c:v>
                </c:pt>
                <c:pt idx="1">
                  <c:v>8,49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3"/>
                  <a:stretch>
                    <a:fillRect/>
                  </a:stretch>
                </a:blip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4AA6-4734-AC37-E50BB2C9E3E0}"/>
              </c:ext>
            </c:extLst>
          </c:dPt>
          <c:xVal>
            <c:numRef>
              <c:f>COD_DESC_CAPACT!$F$83:$F$84</c:f>
              <c:numCache>
                <c:formatCode>General</c:formatCode>
                <c:ptCount val="2"/>
                <c:pt idx="0">
                  <c:v>8.49</c:v>
                </c:pt>
                <c:pt idx="1">
                  <c:v>8.49</c:v>
                </c:pt>
              </c:numCache>
            </c:numRef>
          </c:xVal>
          <c:yVal>
            <c:numRef>
              <c:f>COD_DESC_CAPACT!$G$83:$G$84</c:f>
              <c:numCache>
                <c:formatCode>General</c:formatCode>
                <c:ptCount val="2"/>
                <c:pt idx="0">
                  <c:v>7.95</c:v>
                </c:pt>
                <c:pt idx="1">
                  <c:v>7.95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AA6-4734-AC37-E50BB2C9E3E0}"/>
            </c:ext>
          </c:extLst>
        </c:ser>
        <c:ser>
          <c:idx val="6"/>
          <c:order val="6"/>
          <c:tx>
            <c:strRef>
              <c:f>COD_DESC_CAPACT!$E$85</c:f>
              <c:strCache>
                <c:ptCount val="1"/>
                <c:pt idx="0">
                  <c:v>v3</c:v>
                </c:pt>
              </c:strCache>
            </c:strRef>
          </c:tx>
          <c:spPr>
            <a:ln w="539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COD_DESC_CAPACT!$F$85:$F$86</c:f>
              <c:numCache>
                <c:formatCode>General</c:formatCode>
                <c:ptCount val="2"/>
                <c:pt idx="0">
                  <c:v>8</c:v>
                </c:pt>
                <c:pt idx="1">
                  <c:v>6.4</c:v>
                </c:pt>
              </c:numCache>
            </c:numRef>
          </c:xVal>
          <c:yVal>
            <c:numRef>
              <c:f>COD_DESC_CAPACT!$G$85:$G$86</c:f>
              <c:numCache>
                <c:formatCode>General</c:formatCode>
                <c:ptCount val="2"/>
                <c:pt idx="0">
                  <c:v>8.7799999999999994</c:v>
                </c:pt>
                <c:pt idx="1">
                  <c:v>8.7799999999999994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AA6-4734-AC37-E50BB2C9E3E0}"/>
            </c:ext>
          </c:extLst>
        </c:ser>
        <c:ser>
          <c:idx val="7"/>
          <c:order val="7"/>
          <c:tx>
            <c:strRef>
              <c:f>COD_DESC_CAPACT!$E$87</c:f>
              <c:strCache>
                <c:ptCount val="1"/>
                <c:pt idx="0">
                  <c:v>ponta vermelha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COD_DESC_CAPACT!$F$87:$F$88</c:f>
              <c:numCache>
                <c:formatCode>General</c:formatCode>
                <c:ptCount val="2"/>
                <c:pt idx="0">
                  <c:v>6.4</c:v>
                </c:pt>
                <c:pt idx="1">
                  <c:v>6.4</c:v>
                </c:pt>
              </c:numCache>
            </c:numRef>
          </c:xVal>
          <c:yVal>
            <c:numRef>
              <c:f>COD_DESC_CAPACT!$G$87:$G$88</c:f>
              <c:numCache>
                <c:formatCode>General</c:formatCode>
                <c:ptCount val="2"/>
                <c:pt idx="0">
                  <c:v>8.7799999999999994</c:v>
                </c:pt>
                <c:pt idx="1">
                  <c:v>8.7799999999999994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AA6-4734-AC37-E50BB2C9E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429039"/>
        <c:axId val="256281999"/>
      </c:scatterChart>
      <c:valAx>
        <c:axId val="245429039"/>
        <c:scaling>
          <c:orientation val="minMax"/>
          <c:max val="10"/>
          <c:min val="0"/>
        </c:scaling>
        <c:delete val="1"/>
        <c:axPos val="b"/>
        <c:numFmt formatCode="General" sourceLinked="1"/>
        <c:majorTickMark val="none"/>
        <c:minorTickMark val="none"/>
        <c:tickLblPos val="nextTo"/>
        <c:crossAx val="256281999"/>
        <c:crosses val="autoZero"/>
        <c:crossBetween val="midCat"/>
      </c:valAx>
      <c:valAx>
        <c:axId val="256281999"/>
        <c:scaling>
          <c:orientation val="minMax"/>
          <c:max val="10"/>
          <c:min val="0"/>
        </c:scaling>
        <c:delete val="1"/>
        <c:axPos val="l"/>
        <c:numFmt formatCode="General" sourceLinked="1"/>
        <c:majorTickMark val="none"/>
        <c:minorTickMark val="none"/>
        <c:tickLblPos val="nextTo"/>
        <c:crossAx val="2454290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759296182397804E-2"/>
          <c:y val="0.15658974893380079"/>
          <c:w val="0.8902939632545932"/>
          <c:h val="0.7208876494604841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COD_DESC_CAPACT!$C$125</c:f>
              <c:strCache>
                <c:ptCount val="1"/>
                <c:pt idx="0">
                  <c:v>bola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2"/>
            <c:spPr>
              <a:solidFill>
                <a:schemeClr val="accent4">
                  <a:lumMod val="40000"/>
                  <a:lumOff val="60000"/>
                  <a:alpha val="62000"/>
                </a:schemeClr>
              </a:solidFill>
              <a:ln w="9525">
                <a:noFill/>
              </a:ln>
              <a:effectLst/>
            </c:spPr>
          </c:marker>
          <c:dPt>
            <c:idx val="0"/>
            <c:marker>
              <c:symbol val="circle"/>
              <c:size val="72"/>
              <c:spPr>
                <a:solidFill>
                  <a:schemeClr val="accent4">
                    <a:lumMod val="40000"/>
                    <a:lumOff val="60000"/>
                    <a:alpha val="77000"/>
                  </a:schemeClr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0-7898-4D87-9C61-EC1E1CF04224}"/>
              </c:ext>
            </c:extLst>
          </c:dPt>
          <c:xVal>
            <c:numRef>
              <c:f>COD_DESC_CAPACT!$D$126</c:f>
              <c:numCache>
                <c:formatCode>General</c:formatCode>
                <c:ptCount val="1"/>
                <c:pt idx="0">
                  <c:v>15</c:v>
                </c:pt>
              </c:numCache>
            </c:numRef>
          </c:xVal>
          <c:yVal>
            <c:numRef>
              <c:f>COD_DESC_CAPACT!$E$126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898-4D87-9C61-EC1E1CF042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736496"/>
        <c:axId val="143726512"/>
      </c:scatterChart>
      <c:valAx>
        <c:axId val="143736496"/>
        <c:scaling>
          <c:orientation val="minMax"/>
          <c:max val="2"/>
        </c:scaling>
        <c:delete val="1"/>
        <c:axPos val="b"/>
        <c:numFmt formatCode="General" sourceLinked="1"/>
        <c:majorTickMark val="none"/>
        <c:minorTickMark val="none"/>
        <c:tickLblPos val="nextTo"/>
        <c:crossAx val="143726512"/>
        <c:crosses val="autoZero"/>
        <c:crossBetween val="midCat"/>
      </c:valAx>
      <c:valAx>
        <c:axId val="143726512"/>
        <c:scaling>
          <c:orientation val="minMax"/>
          <c:max val="2"/>
          <c:min val="0"/>
        </c:scaling>
        <c:delete val="1"/>
        <c:axPos val="l"/>
        <c:numFmt formatCode="General" sourceLinked="1"/>
        <c:majorTickMark val="none"/>
        <c:minorTickMark val="none"/>
        <c:tickLblPos val="nextTo"/>
        <c:crossAx val="143736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836388320709139E-2"/>
          <c:y val="1.9317905383778249E-2"/>
          <c:w val="0.88887729658792647"/>
          <c:h val="0.95539114013187376"/>
        </c:manualLayout>
      </c:layout>
      <c:scatterChart>
        <c:scatterStyle val="lineMarker"/>
        <c:varyColors val="0"/>
        <c:ser>
          <c:idx val="0"/>
          <c:order val="0"/>
          <c:tx>
            <c:strRef>
              <c:f>COD_DESC_CAPACT!$D$108</c:f>
              <c:strCache>
                <c:ptCount val="1"/>
                <c:pt idx="0">
                  <c:v>raio1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COD_DESC_CAPACT!$E$108:$E$109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COD_DESC_CAPACT!$F$108:$F$109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707-485E-B26E-5DE9F5FAF8CF}"/>
            </c:ext>
          </c:extLst>
        </c:ser>
        <c:ser>
          <c:idx val="1"/>
          <c:order val="1"/>
          <c:tx>
            <c:strRef>
              <c:f>COD_DESC_CAPACT!$D$110</c:f>
              <c:strCache>
                <c:ptCount val="1"/>
                <c:pt idx="0">
                  <c:v>raio2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76200" cap="rnd">
                <a:solidFill>
                  <a:srgbClr val="FF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C707-485E-B26E-5DE9F5FAF8CF}"/>
              </c:ext>
            </c:extLst>
          </c:dPt>
          <c:xVal>
            <c:numRef>
              <c:f>COD_DESC_CAPACT!$E$110:$E$111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COD_DESC_CAPACT!$F$110:$F$111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707-485E-B26E-5DE9F5FAF8CF}"/>
            </c:ext>
          </c:extLst>
        </c:ser>
        <c:ser>
          <c:idx val="2"/>
          <c:order val="2"/>
          <c:tx>
            <c:strRef>
              <c:f>COD_DESC_CAPACT!$D$112</c:f>
              <c:strCache>
                <c:ptCount val="1"/>
                <c:pt idx="0">
                  <c:v>raio3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COD_DESC_CAPACT!$E$112:$E$113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COD_DESC_CAPACT!$F$112:$F$113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707-485E-B26E-5DE9F5FAF8CF}"/>
            </c:ext>
          </c:extLst>
        </c:ser>
        <c:ser>
          <c:idx val="3"/>
          <c:order val="3"/>
          <c:tx>
            <c:strRef>
              <c:f>COD_DESC_CAPACT!$D$114</c:f>
              <c:strCache>
                <c:ptCount val="1"/>
                <c:pt idx="0">
                  <c:v>raio4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COD_DESC_CAPACT!$E$114:$E$115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COD_DESC_CAPACT!$F$114:$F$115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707-485E-B26E-5DE9F5FAF8CF}"/>
            </c:ext>
          </c:extLst>
        </c:ser>
        <c:ser>
          <c:idx val="4"/>
          <c:order val="4"/>
          <c:tx>
            <c:strRef>
              <c:f>COD_DESC_CAPACT!$D$116</c:f>
              <c:strCache>
                <c:ptCount val="1"/>
                <c:pt idx="0">
                  <c:v>raio5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COD_DESC_CAPACT!$E$116:$E$117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COD_DESC_CAPACT!$F$116:$F$117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707-485E-B26E-5DE9F5FAF8CF}"/>
            </c:ext>
          </c:extLst>
        </c:ser>
        <c:ser>
          <c:idx val="5"/>
          <c:order val="5"/>
          <c:tx>
            <c:strRef>
              <c:f>COD_DESC_CAPACT!$D$118</c:f>
              <c:strCache>
                <c:ptCount val="1"/>
                <c:pt idx="0">
                  <c:v>raio6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COD_DESC_CAPACT!$E$118:$E$119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COD_DESC_CAPACT!$F$118:$F$119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707-485E-B26E-5DE9F5FAF8CF}"/>
            </c:ext>
          </c:extLst>
        </c:ser>
        <c:ser>
          <c:idx val="6"/>
          <c:order val="6"/>
          <c:tx>
            <c:strRef>
              <c:f>COD_DESC_CAPACT!$D$120</c:f>
              <c:strCache>
                <c:ptCount val="1"/>
                <c:pt idx="0">
                  <c:v>raio7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COD_DESC_CAPACT!$E$120:$E$121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COD_DESC_CAPACT!$F$120:$F$121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C707-485E-B26E-5DE9F5FAF8CF}"/>
            </c:ext>
          </c:extLst>
        </c:ser>
        <c:ser>
          <c:idx val="7"/>
          <c:order val="7"/>
          <c:tx>
            <c:strRef>
              <c:f>COD_DESC_CAPACT!$D$141</c:f>
              <c:strCache>
                <c:ptCount val="1"/>
                <c:pt idx="0">
                  <c:v>RAIO 1.1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COD_DESC_CAPACT!$E$141:$E$142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COD_DESC_CAPACT!$F$141:$F$142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707-485E-B26E-5DE9F5FAF8CF}"/>
            </c:ext>
          </c:extLst>
        </c:ser>
        <c:ser>
          <c:idx val="8"/>
          <c:order val="8"/>
          <c:tx>
            <c:strRef>
              <c:f>COD_DESC_CAPACT!$D$143</c:f>
              <c:strCache>
                <c:ptCount val="1"/>
                <c:pt idx="0">
                  <c:v>RAIO 2.1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COD_DESC_CAPACT!$E$143:$E$144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COD_DESC_CAPACT!$F$143:$F$144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707-485E-B26E-5DE9F5FAF8CF}"/>
            </c:ext>
          </c:extLst>
        </c:ser>
        <c:ser>
          <c:idx val="9"/>
          <c:order val="9"/>
          <c:tx>
            <c:strRef>
              <c:f>COD_DESC_CAPACT!$D$145</c:f>
              <c:strCache>
                <c:ptCount val="1"/>
                <c:pt idx="0">
                  <c:v>RAIO 3.1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COD_DESC_CAPACT!$E$145:$E$146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COD_DESC_CAPACT!$F$145:$F$146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707-485E-B26E-5DE9F5FAF8CF}"/>
            </c:ext>
          </c:extLst>
        </c:ser>
        <c:ser>
          <c:idx val="10"/>
          <c:order val="10"/>
          <c:tx>
            <c:strRef>
              <c:f>COD_DESC_CAPACT!$D$147</c:f>
              <c:strCache>
                <c:ptCount val="1"/>
                <c:pt idx="0">
                  <c:v>RAIO 4.1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COD_DESC_CAPACT!$E$147:$E$148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COD_DESC_CAPACT!$F$147:$F$148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C707-485E-B26E-5DE9F5FAF8CF}"/>
            </c:ext>
          </c:extLst>
        </c:ser>
        <c:ser>
          <c:idx val="11"/>
          <c:order val="11"/>
          <c:tx>
            <c:strRef>
              <c:f>COD_DESC_CAPACT!$D$149</c:f>
              <c:strCache>
                <c:ptCount val="1"/>
                <c:pt idx="0">
                  <c:v>RAIO 5.1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COD_DESC_CAPACT!$E$149:$E$150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COD_DESC_CAPACT!$F$149:$F$150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C707-485E-B26E-5DE9F5FAF8CF}"/>
            </c:ext>
          </c:extLst>
        </c:ser>
        <c:ser>
          <c:idx val="12"/>
          <c:order val="12"/>
          <c:tx>
            <c:strRef>
              <c:f>COD_DESC_CAPACT!$D$151</c:f>
              <c:strCache>
                <c:ptCount val="1"/>
                <c:pt idx="0">
                  <c:v>RAIO 6.1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COD_DESC_CAPACT!$E$151:$E$152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COD_DESC_CAPACT!$F$151:$F$152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C707-485E-B26E-5DE9F5FAF8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454080"/>
        <c:axId val="41459072"/>
      </c:scatterChart>
      <c:valAx>
        <c:axId val="41454080"/>
        <c:scaling>
          <c:orientation val="minMax"/>
          <c:max val="10"/>
          <c:min val="-5"/>
        </c:scaling>
        <c:delete val="1"/>
        <c:axPos val="b"/>
        <c:numFmt formatCode="General" sourceLinked="1"/>
        <c:majorTickMark val="out"/>
        <c:minorTickMark val="none"/>
        <c:tickLblPos val="nextTo"/>
        <c:crossAx val="41459072"/>
        <c:crosses val="autoZero"/>
        <c:crossBetween val="midCat"/>
        <c:majorUnit val="1"/>
      </c:valAx>
      <c:valAx>
        <c:axId val="41459072"/>
        <c:scaling>
          <c:orientation val="minMax"/>
          <c:max val="10"/>
          <c:min val="-10"/>
        </c:scaling>
        <c:delete val="1"/>
        <c:axPos val="l"/>
        <c:numFmt formatCode="General" sourceLinked="1"/>
        <c:majorTickMark val="out"/>
        <c:minorTickMark val="none"/>
        <c:tickLblPos val="nextTo"/>
        <c:crossAx val="41454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6666666666666"/>
          <c:y val="9.789449751913587E-2"/>
          <c:w val="0.81713333333333338"/>
          <c:h val="0.74576603544391651"/>
        </c:manualLayout>
      </c:layout>
      <c:scatterChart>
        <c:scatterStyle val="lineMarker"/>
        <c:varyColors val="0"/>
        <c:ser>
          <c:idx val="0"/>
          <c:order val="0"/>
          <c:tx>
            <c:strRef>
              <c:f>COD_DESC_CAPACT!$CI$18</c:f>
              <c:strCache>
                <c:ptCount val="1"/>
                <c:pt idx="0">
                  <c:v>descarga do capacitor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numRef>
              <c:f>COD_DESC_CAPACT!$CO$23:$CO$30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COD_DESC_CAPACT!$CN$23:$CN$30</c:f>
              <c:numCache>
                <c:formatCode>General</c:formatCode>
                <c:ptCount val="8"/>
                <c:pt idx="0">
                  <c:v>-300</c:v>
                </c:pt>
                <c:pt idx="1">
                  <c:v>-300</c:v>
                </c:pt>
                <c:pt idx="2">
                  <c:v>-300</c:v>
                </c:pt>
                <c:pt idx="3">
                  <c:v>-300</c:v>
                </c:pt>
                <c:pt idx="4">
                  <c:v>-300</c:v>
                </c:pt>
                <c:pt idx="5">
                  <c:v>-300</c:v>
                </c:pt>
                <c:pt idx="6">
                  <c:v>-300</c:v>
                </c:pt>
                <c:pt idx="7">
                  <c:v>-300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32F-4270-B769-95C56E23EB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137743"/>
        <c:axId val="146109743"/>
      </c:scatterChart>
      <c:valAx>
        <c:axId val="114137743"/>
        <c:scaling>
          <c:orientation val="minMax"/>
          <c:min val="0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900" b="1"/>
                  <a:t>t (</a:t>
                </a:r>
                <a:r>
                  <a:rPr lang="pt-BR" sz="900" b="1" i="1"/>
                  <a:t>s</a:t>
                </a:r>
                <a:r>
                  <a:rPr lang="pt-BR" sz="900" b="1" i="0"/>
                  <a:t>)</a:t>
                </a:r>
                <a:endParaRPr lang="pt-BR" sz="900" b="1"/>
              </a:p>
            </c:rich>
          </c:tx>
          <c:layout>
            <c:manualLayout>
              <c:xMode val="edge"/>
              <c:yMode val="edge"/>
              <c:x val="0.39706666666666673"/>
              <c:y val="0.8326413067221832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out"/>
        <c:minorTickMark val="none"/>
        <c:tickLblPos val="nextTo"/>
        <c:crossAx val="146109743"/>
        <c:crosses val="autoZero"/>
        <c:crossBetween val="midCat"/>
      </c:valAx>
      <c:valAx>
        <c:axId val="146109743"/>
        <c:scaling>
          <c:orientation val="minMax"/>
          <c:min val="0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900" b="1"/>
                  <a:t>V (</a:t>
                </a:r>
                <a:r>
                  <a:rPr lang="pt-BR" sz="900" b="1" i="1"/>
                  <a:t>V</a:t>
                </a:r>
                <a:r>
                  <a:rPr lang="pt-BR" sz="900" b="1" i="0"/>
                  <a:t>)</a:t>
                </a:r>
                <a:endParaRPr lang="pt-BR" sz="900" b="1"/>
              </a:p>
            </c:rich>
          </c:tx>
          <c:layout>
            <c:manualLayout>
              <c:xMode val="edge"/>
              <c:yMode val="edge"/>
              <c:x val="6.6666666666666671E-3"/>
              <c:y val="0.381052706660663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out"/>
        <c:minorTickMark val="none"/>
        <c:tickLblPos val="nextTo"/>
        <c:crossAx val="114137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452273129071301E-2"/>
          <c:y val="0.22688667974774282"/>
          <c:w val="0.91713747645951038"/>
          <c:h val="0.57021424485747185"/>
        </c:manualLayout>
      </c:layout>
      <c:scatterChart>
        <c:scatterStyle val="lineMarker"/>
        <c:varyColors val="0"/>
        <c:ser>
          <c:idx val="0"/>
          <c:order val="0"/>
          <c:tx>
            <c:strRef>
              <c:f>COD_DESC_CAPACT!$CJ$10</c:f>
              <c:strCache>
                <c:ptCount val="1"/>
                <c:pt idx="0">
                  <c:v>grafico capact</c:v>
                </c:pt>
              </c:strCache>
            </c:strRef>
          </c:tx>
          <c:spPr>
            <a:ln w="215900" cap="flat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COD_DESC_CAPACT!$CK$11:$CK$12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COD_DESC_CAPACT!$CL$11:$CL$12</c:f>
              <c:numCache>
                <c:formatCode>General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C01-4799-B32C-4CCD0C59A5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6590543"/>
        <c:axId val="1726590127"/>
      </c:scatterChart>
      <c:valAx>
        <c:axId val="1726590543"/>
        <c:scaling>
          <c:orientation val="minMax"/>
          <c:max val="30"/>
          <c:min val="0"/>
        </c:scaling>
        <c:delete val="1"/>
        <c:axPos val="b"/>
        <c:numFmt formatCode="General" sourceLinked="1"/>
        <c:majorTickMark val="none"/>
        <c:minorTickMark val="none"/>
        <c:tickLblPos val="nextTo"/>
        <c:crossAx val="1726590127"/>
        <c:crosses val="autoZero"/>
        <c:crossBetween val="midCat"/>
      </c:valAx>
      <c:valAx>
        <c:axId val="1726590127"/>
        <c:scaling>
          <c:orientation val="minMax"/>
          <c:max val="1"/>
          <c:min val="0"/>
        </c:scaling>
        <c:delete val="1"/>
        <c:axPos val="l"/>
        <c:numFmt formatCode="General" sourceLinked="1"/>
        <c:majorTickMark val="none"/>
        <c:minorTickMark val="none"/>
        <c:tickLblPos val="nextTo"/>
        <c:crossAx val="17265905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2665181885671864E-2"/>
          <c:y val="0.23597961762423086"/>
          <c:w val="0.93466963622865629"/>
          <c:h val="0.61587320632468567"/>
        </c:manualLayout>
      </c:layout>
      <c:scatterChart>
        <c:scatterStyle val="lineMarker"/>
        <c:varyColors val="0"/>
        <c:ser>
          <c:idx val="0"/>
          <c:order val="0"/>
          <c:tx>
            <c:strRef>
              <c:f>COD_DESC_CAPACT!$CP$5</c:f>
              <c:strCache>
                <c:ptCount val="1"/>
                <c:pt idx="0">
                  <c:v>Energia</c:v>
                </c:pt>
              </c:strCache>
            </c:strRef>
          </c:tx>
          <c:spPr>
            <a:ln w="209550" cap="flat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COD_DESC_CAPACT!$CU$8:$CU$9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COD_DESC_CAPACT!$CV$8:$CV$9</c:f>
              <c:numCache>
                <c:formatCode>General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A41-4A49-93BB-3BBA57CF3E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6590543"/>
        <c:axId val="1726590127"/>
      </c:scatterChart>
      <c:valAx>
        <c:axId val="1726590543"/>
        <c:scaling>
          <c:orientation val="minMax"/>
          <c:max val="60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1726590127"/>
        <c:crosses val="autoZero"/>
        <c:crossBetween val="midCat"/>
      </c:valAx>
      <c:valAx>
        <c:axId val="1726590127"/>
        <c:scaling>
          <c:orientation val="minMax"/>
          <c:max val="1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17265905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none"/>
              <a:t>Gráfico 1:</a:t>
            </a:r>
            <a:r>
              <a:rPr lang="en-US" u="none" baseline="0"/>
              <a:t> tensão(V) </a:t>
            </a:r>
            <a:r>
              <a:rPr lang="en-US" i="1" u="none" baseline="0"/>
              <a:t>versus </a:t>
            </a:r>
            <a:r>
              <a:rPr lang="en-US" i="0" u="none" baseline="0"/>
              <a:t>tempo(t)</a:t>
            </a:r>
            <a:endParaRPr lang="en-US" u="none"/>
          </a:p>
        </c:rich>
      </c:tx>
      <c:layout>
        <c:manualLayout>
          <c:xMode val="edge"/>
          <c:yMode val="edge"/>
          <c:x val="0.21456233595800525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2894225721784777"/>
          <c:y val="0.17171296296296296"/>
          <c:w val="0.83416885389326334"/>
          <c:h val="0.64586431904345276"/>
        </c:manualLayout>
      </c:layout>
      <c:scatterChart>
        <c:scatterStyle val="lineMarker"/>
        <c:varyColors val="0"/>
        <c:ser>
          <c:idx val="0"/>
          <c:order val="0"/>
          <c:tx>
            <c:v>v x 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9900"/>
              </a:solidFill>
              <a:ln w="9525">
                <a:solidFill>
                  <a:srgbClr val="009900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6">
                    <a:lumMod val="75000"/>
                  </a:schemeClr>
                </a:solidFill>
                <a:prstDash val="sysDot"/>
              </a:ln>
              <a:effectLst/>
            </c:spPr>
            <c:trendlineType val="exp"/>
            <c:dispRSqr val="0"/>
            <c:dispEq val="1"/>
            <c:trendlineLbl>
              <c:layout>
                <c:manualLayout>
                  <c:x val="-9.6907926509186351E-2"/>
                  <c:y val="-0.33267854676060227"/>
                </c:manualLayout>
              </c:layout>
              <c:numFmt formatCode="General" sourceLinked="0"/>
              <c:spPr>
                <a:noFill/>
                <a:ln w="12700"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COD_DESC_CAPACT!$DF$11:$DF$18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COD_DESC_CAPACT!$DG$11:$DG$18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DB9-4335-A362-F36E67673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6992000"/>
        <c:axId val="1916999488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v>E x t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COD_DESC_CAPACT!$DF$11:$DF$18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COD_DESC_CAPACT!$DH$11:$DH$18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8DB9-4335-A362-F36E676735A7}"/>
                  </c:ext>
                </c:extLst>
              </c15:ser>
            </c15:filteredScatterSeries>
          </c:ext>
        </c:extLst>
      </c:scatterChart>
      <c:valAx>
        <c:axId val="1916992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t </a:t>
                </a:r>
                <a:r>
                  <a:rPr lang="pt-BR" i="1"/>
                  <a:t>(nS)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16999488"/>
        <c:crosses val="autoZero"/>
        <c:crossBetween val="midCat"/>
      </c:valAx>
      <c:valAx>
        <c:axId val="1916999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V</a:t>
                </a:r>
                <a:r>
                  <a:rPr lang="pt-BR" baseline="0"/>
                  <a:t> (</a:t>
                </a:r>
                <a:r>
                  <a:rPr lang="pt-BR" i="1" baseline="0"/>
                  <a:t>V</a:t>
                </a:r>
                <a:r>
                  <a:rPr lang="pt-BR" i="0" baseline="0"/>
                  <a:t>)</a:t>
                </a:r>
                <a:endParaRPr lang="pt-BR"/>
              </a:p>
            </c:rich>
          </c:tx>
          <c:layout>
            <c:manualLayout>
              <c:xMode val="edge"/>
              <c:yMode val="edge"/>
              <c:x val="2.2222222222222223E-2"/>
              <c:y val="0.423649752114319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16992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8575" cap="flat" cmpd="sng" algn="ctr">
      <a:solidFill>
        <a:srgbClr val="009900"/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baseline="0">
                <a:effectLst/>
              </a:rPr>
              <a:t>Gráfico 2:</a:t>
            </a:r>
            <a:r>
              <a:rPr lang="en-US" sz="1400" b="0" i="0" u="none" baseline="0">
                <a:effectLst/>
              </a:rPr>
              <a:t> Energia(E) </a:t>
            </a:r>
            <a:r>
              <a:rPr lang="en-US" sz="1400" b="0" i="1" u="none" baseline="0">
                <a:effectLst/>
              </a:rPr>
              <a:t>versus </a:t>
            </a:r>
            <a:r>
              <a:rPr lang="en-US" sz="1400" b="0" i="0" u="none" strike="noStrike" baseline="0">
                <a:effectLst/>
              </a:rPr>
              <a:t>tensão(V) </a:t>
            </a:r>
            <a:r>
              <a:rPr lang="en-US" sz="1400" b="0" i="1" u="none" baseline="0">
                <a:effectLst/>
              </a:rPr>
              <a:t> </a:t>
            </a:r>
            <a:endParaRPr lang="pt-BR" sz="1100" u="non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7727387251197"/>
          <c:y val="0.16274288280818131"/>
          <c:w val="0.83973880910388832"/>
          <c:h val="0.66436394416804867"/>
        </c:manualLayout>
      </c:layout>
      <c:scatterChart>
        <c:scatterStyle val="lineMarker"/>
        <c:varyColors val="0"/>
        <c:ser>
          <c:idx val="2"/>
          <c:order val="2"/>
          <c:tx>
            <c:v>E x V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-0.31646930377089105"/>
                  <c:y val="0.1475317855168601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COD_DESC_CAPACT!$DG$11:$DG$18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COD_DESC_CAPACT!$DH$11:$DH$18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FA-487B-9E89-FB6EE070E6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6992000"/>
        <c:axId val="1916999488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v x t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COD_DESC_CAPACT!$DF$11:$DF$18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COD_DESC_CAPACT!$DG$11:$DG$18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1AFA-487B-9E89-FB6EE070E6D1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v>E x t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COD_DESC_CAPACT!$DF$11:$DF$18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COD_DESC_CAPACT!$DH$11:$DH$18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AFA-487B-9E89-FB6EE070E6D1}"/>
                  </c:ext>
                </c:extLst>
              </c15:ser>
            </c15:filteredScatterSeries>
          </c:ext>
        </c:extLst>
      </c:scatterChart>
      <c:valAx>
        <c:axId val="1916992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V </a:t>
                </a:r>
                <a:r>
                  <a:rPr lang="pt-BR" i="1"/>
                  <a:t>(V)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16999488"/>
        <c:crosses val="autoZero"/>
        <c:crossBetween val="midCat"/>
      </c:valAx>
      <c:valAx>
        <c:axId val="1916999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E </a:t>
                </a:r>
                <a:r>
                  <a:rPr lang="pt-BR" i="1"/>
                  <a:t>(pJ)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16992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8575" cap="flat" cmpd="sng" algn="ctr">
      <a:solidFill>
        <a:srgbClr val="C00000"/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905834732031889E-2"/>
          <c:y val="3.4833086129148164E-2"/>
          <c:w val="0.92459869554932239"/>
          <c:h val="0.9140850920791147"/>
        </c:manualLayout>
      </c:layout>
      <c:scatterChart>
        <c:scatterStyle val="lineMarker"/>
        <c:varyColors val="0"/>
        <c:ser>
          <c:idx val="0"/>
          <c:order val="0"/>
          <c:tx>
            <c:strRef>
              <c:f>COD_DESC_CAPACT!$F$8</c:f>
              <c:strCache>
                <c:ptCount val="1"/>
                <c:pt idx="0">
                  <c:v>H1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COD_DESC_CAPACT!$G$9:$G$10</c:f>
              <c:numCache>
                <c:formatCode>General</c:formatCode>
                <c:ptCount val="2"/>
                <c:pt idx="0">
                  <c:v>0.5</c:v>
                </c:pt>
                <c:pt idx="1">
                  <c:v>6</c:v>
                </c:pt>
              </c:numCache>
            </c:numRef>
          </c:xVal>
          <c:yVal>
            <c:numRef>
              <c:f>COD_DESC_CAPACT!$H$9:$H$10</c:f>
              <c:numCache>
                <c:formatCode>General</c:formatCode>
                <c:ptCount val="2"/>
                <c:pt idx="0">
                  <c:v>9</c:v>
                </c:pt>
                <c:pt idx="1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A23-4EAC-9B82-DFB0B292F20F}"/>
            </c:ext>
          </c:extLst>
        </c:ser>
        <c:ser>
          <c:idx val="1"/>
          <c:order val="1"/>
          <c:tx>
            <c:strRef>
              <c:f>COD_DESC_CAPACT!$J$8</c:f>
              <c:strCache>
                <c:ptCount val="1"/>
                <c:pt idx="0">
                  <c:v>H2</c:v>
                </c:pt>
              </c:strCache>
            </c:strRef>
          </c:tx>
          <c:spPr>
            <a:ln w="53975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COD_DESC_CAPACT!$K$9:$K$10</c:f>
              <c:numCache>
                <c:formatCode>General</c:formatCode>
                <c:ptCount val="2"/>
                <c:pt idx="0">
                  <c:v>0.5</c:v>
                </c:pt>
                <c:pt idx="1">
                  <c:v>6</c:v>
                </c:pt>
              </c:numCache>
            </c:numRef>
          </c:xVal>
          <c:yVal>
            <c:numRef>
              <c:f>COD_DESC_CAPACT!$L$9:$L$10</c:f>
              <c:numCache>
                <c:formatCode>General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A23-4EAC-9B82-DFB0B292F20F}"/>
            </c:ext>
          </c:extLst>
        </c:ser>
        <c:ser>
          <c:idx val="2"/>
          <c:order val="2"/>
          <c:tx>
            <c:strRef>
              <c:f>COD_DESC_CAPACT!$F$12</c:f>
              <c:strCache>
                <c:ptCount val="1"/>
                <c:pt idx="0">
                  <c:v>V1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AA23-4EAC-9B82-DFB0B292F20F}"/>
              </c:ext>
            </c:extLst>
          </c:dPt>
          <c:xVal>
            <c:numRef>
              <c:f>COD_DESC_CAPACT!$G$13:$G$14</c:f>
              <c:numCache>
                <c:formatCode>General</c:formatCode>
                <c:ptCount val="2"/>
                <c:pt idx="0">
                  <c:v>8</c:v>
                </c:pt>
                <c:pt idx="1">
                  <c:v>8</c:v>
                </c:pt>
              </c:numCache>
            </c:numRef>
          </c:xVal>
          <c:yVal>
            <c:numRef>
              <c:f>COD_DESC_CAPACT!$H$13:$H$14</c:f>
              <c:numCache>
                <c:formatCode>General</c:formatCode>
                <c:ptCount val="2"/>
                <c:pt idx="0">
                  <c:v>8</c:v>
                </c:pt>
                <c:pt idx="1">
                  <c:v>6.1750000000000007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A23-4EAC-9B82-DFB0B292F20F}"/>
            </c:ext>
          </c:extLst>
        </c:ser>
        <c:ser>
          <c:idx val="3"/>
          <c:order val="3"/>
          <c:tx>
            <c:strRef>
              <c:f>COD_DESC_CAPACT!$J$12</c:f>
              <c:strCache>
                <c:ptCount val="1"/>
                <c:pt idx="0">
                  <c:v>V2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9525">
                  <a:noFill/>
                </a:ln>
                <a:effectLst/>
              </c:spPr>
            </c:marker>
            <c:bubble3D val="0"/>
            <c:spPr>
              <a:ln w="53975" cap="rnd">
                <a:solidFill>
                  <a:schemeClr val="tx1">
                    <a:alpha val="96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AA23-4EAC-9B82-DFB0B292F20F}"/>
              </c:ext>
            </c:extLst>
          </c:dPt>
          <c:xVal>
            <c:numRef>
              <c:f>COD_DESC_CAPACT!$K$13:$K$14</c:f>
              <c:numCache>
                <c:formatCode>General</c:formatCode>
                <c:ptCount val="2"/>
                <c:pt idx="0">
                  <c:v>8</c:v>
                </c:pt>
                <c:pt idx="1">
                  <c:v>8</c:v>
                </c:pt>
              </c:numCache>
            </c:numRef>
          </c:xVal>
          <c:yVal>
            <c:numRef>
              <c:f>COD_DESC_CAPACT!$L$13:$L$14</c:f>
              <c:numCache>
                <c:formatCode>General</c:formatCode>
                <c:ptCount val="2"/>
                <c:pt idx="0">
                  <c:v>3.625</c:v>
                </c:pt>
                <c:pt idx="1">
                  <c:v>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A23-4EAC-9B82-DFB0B292F20F}"/>
            </c:ext>
          </c:extLst>
        </c:ser>
        <c:ser>
          <c:idx val="4"/>
          <c:order val="4"/>
          <c:tx>
            <c:strRef>
              <c:f>COD_DESC_CAPACT!$F$16</c:f>
              <c:strCache>
                <c:ptCount val="1"/>
                <c:pt idx="0">
                  <c:v>H3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COD_DESC_CAPACT!$G$17:$G$18</c:f>
              <c:numCache>
                <c:formatCode>General</c:formatCode>
                <c:ptCount val="2"/>
                <c:pt idx="0">
                  <c:v>10</c:v>
                </c:pt>
                <c:pt idx="1">
                  <c:v>16.7</c:v>
                </c:pt>
              </c:numCache>
            </c:numRef>
          </c:xVal>
          <c:yVal>
            <c:numRef>
              <c:f>COD_DESC_CAPACT!$H$17:$H$18</c:f>
              <c:numCache>
                <c:formatCode>General</c:formatCode>
                <c:ptCount val="2"/>
                <c:pt idx="0">
                  <c:v>9</c:v>
                </c:pt>
                <c:pt idx="1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A23-4EAC-9B82-DFB0B292F20F}"/>
            </c:ext>
          </c:extLst>
        </c:ser>
        <c:ser>
          <c:idx val="5"/>
          <c:order val="5"/>
          <c:tx>
            <c:strRef>
              <c:f>COD_DESC_CAPACT!$J$16</c:f>
              <c:strCache>
                <c:ptCount val="1"/>
                <c:pt idx="0">
                  <c:v>H4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COD_DESC_CAPACT!$K$17:$K$18</c:f>
              <c:numCache>
                <c:formatCode>General</c:formatCode>
                <c:ptCount val="2"/>
                <c:pt idx="0">
                  <c:v>10</c:v>
                </c:pt>
                <c:pt idx="1">
                  <c:v>17.2</c:v>
                </c:pt>
              </c:numCache>
            </c:numRef>
          </c:xVal>
          <c:yVal>
            <c:numRef>
              <c:f>COD_DESC_CAPACT!$L$17:$L$18</c:f>
              <c:numCache>
                <c:formatCode>General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A23-4EAC-9B82-DFB0B292F20F}"/>
            </c:ext>
          </c:extLst>
        </c:ser>
        <c:ser>
          <c:idx val="6"/>
          <c:order val="6"/>
          <c:tx>
            <c:strRef>
              <c:f>COD_DESC_CAPACT!$F$20</c:f>
              <c:strCache>
                <c:ptCount val="1"/>
                <c:pt idx="0">
                  <c:v>CHAVE1</c:v>
                </c:pt>
              </c:strCache>
            </c:strRef>
          </c:tx>
          <c:spPr>
            <a:ln w="53975" cap="rnd">
              <a:solidFill>
                <a:schemeClr val="tx1">
                  <a:lumMod val="85000"/>
                  <a:lumOff val="1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COD_DESC_CAPACT!$G$21:$G$22</c:f>
              <c:numCache>
                <c:formatCode>General</c:formatCode>
                <c:ptCount val="2"/>
                <c:pt idx="0">
                  <c:v>8</c:v>
                </c:pt>
                <c:pt idx="1">
                  <c:v>6</c:v>
                </c:pt>
              </c:numCache>
            </c:numRef>
          </c:xVal>
          <c:yVal>
            <c:numRef>
              <c:f>COD_DESC_CAPACT!$H$21:$H$22</c:f>
              <c:numCache>
                <c:formatCode>General</c:formatCode>
                <c:ptCount val="2"/>
                <c:pt idx="0">
                  <c:v>8</c:v>
                </c:pt>
                <c:pt idx="1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A23-4EAC-9B82-DFB0B292F2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4301584"/>
        <c:axId val="1924302000"/>
      </c:scatterChart>
      <c:valAx>
        <c:axId val="1924301584"/>
        <c:scaling>
          <c:orientation val="minMax"/>
          <c:max val="2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924302000"/>
        <c:crosses val="autoZero"/>
        <c:crossBetween val="midCat"/>
      </c:valAx>
      <c:valAx>
        <c:axId val="1924302000"/>
        <c:scaling>
          <c:orientation val="minMax"/>
          <c:max val="1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924301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COD_DESC_CAPACT!$V$8</c:f>
              <c:strCache>
                <c:ptCount val="1"/>
                <c:pt idx="0">
                  <c:v>pilha1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COD_DESC_CAPACT!$W$9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COD_DESC_CAPACT!$X$9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F9-4348-B1E2-E5667BCFCDBE}"/>
            </c:ext>
          </c:extLst>
        </c:ser>
        <c:ser>
          <c:idx val="1"/>
          <c:order val="1"/>
          <c:tx>
            <c:strRef>
              <c:f>COD_DESC_CAPACT!$V$10</c:f>
              <c:strCache>
                <c:ptCount val="1"/>
                <c:pt idx="0">
                  <c:v>pilha2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COD_DESC_CAPACT!$W$10</c:f>
              <c:numCache>
                <c:formatCode>General</c:formatCode>
                <c:ptCount val="1"/>
                <c:pt idx="0">
                  <c:v>30</c:v>
                </c:pt>
              </c:numCache>
            </c:numRef>
          </c:xVal>
          <c:yVal>
            <c:numRef>
              <c:f>COD_DESC_CAPACT!$X$10</c:f>
              <c:numCache>
                <c:formatCode>General</c:formatCode>
                <c:ptCount val="1"/>
                <c:pt idx="0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5F9-4348-B1E2-E5667BCFCD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924992"/>
        <c:axId val="1621939968"/>
      </c:scatterChart>
      <c:valAx>
        <c:axId val="1621924992"/>
        <c:scaling>
          <c:orientation val="minMax"/>
          <c:max val="2"/>
          <c:min val="-2"/>
        </c:scaling>
        <c:delete val="1"/>
        <c:axPos val="b"/>
        <c:numFmt formatCode="General" sourceLinked="1"/>
        <c:majorTickMark val="none"/>
        <c:minorTickMark val="none"/>
        <c:tickLblPos val="nextTo"/>
        <c:crossAx val="1621939968"/>
        <c:crosses val="autoZero"/>
        <c:crossBetween val="midCat"/>
      </c:valAx>
      <c:valAx>
        <c:axId val="1621939968"/>
        <c:scaling>
          <c:orientation val="minMax"/>
          <c:max val="2"/>
          <c:min val="-2"/>
        </c:scaling>
        <c:delete val="1"/>
        <c:axPos val="l"/>
        <c:numFmt formatCode="General" sourceLinked="1"/>
        <c:majorTickMark val="none"/>
        <c:minorTickMark val="none"/>
        <c:tickLblPos val="nextTo"/>
        <c:crossAx val="162192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COD_DESC_CAPACT!$J$39</c:f>
              <c:strCache>
                <c:ptCount val="1"/>
                <c:pt idx="0">
                  <c:v>sombra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COD_DESC_CAPACT!$K$39</c:f>
              <c:numCache>
                <c:formatCode>General</c:formatCode>
                <c:ptCount val="1"/>
                <c:pt idx="0">
                  <c:v>30</c:v>
                </c:pt>
              </c:numCache>
            </c:numRef>
          </c:xVal>
          <c:yVal>
            <c:numRef>
              <c:f>COD_DESC_CAPACT!$L$39</c:f>
              <c:numCache>
                <c:formatCode>General</c:formatCode>
                <c:ptCount val="1"/>
                <c:pt idx="0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76-4BA4-B819-02D97A6CA58C}"/>
            </c:ext>
          </c:extLst>
        </c:ser>
        <c:ser>
          <c:idx val="1"/>
          <c:order val="1"/>
          <c:tx>
            <c:strRef>
              <c:f>COD_DESC_CAPACT!$J$40</c:f>
              <c:strCache>
                <c:ptCount val="1"/>
                <c:pt idx="0">
                  <c:v>sombra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COD_DESC_CAPACT!$K$40</c:f>
              <c:numCache>
                <c:formatCode>General</c:formatCode>
                <c:ptCount val="1"/>
                <c:pt idx="0">
                  <c:v>30</c:v>
                </c:pt>
              </c:numCache>
            </c:numRef>
          </c:xVal>
          <c:yVal>
            <c:numRef>
              <c:f>COD_DESC_CAPACT!$L$40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476-4BA4-B819-02D97A6CA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8821712"/>
        <c:axId val="1578822128"/>
      </c:scatterChart>
      <c:valAx>
        <c:axId val="1578821712"/>
        <c:scaling>
          <c:orientation val="minMax"/>
          <c:max val="2"/>
          <c:min val="-2"/>
        </c:scaling>
        <c:delete val="1"/>
        <c:axPos val="b"/>
        <c:numFmt formatCode="General" sourceLinked="1"/>
        <c:majorTickMark val="none"/>
        <c:minorTickMark val="none"/>
        <c:tickLblPos val="nextTo"/>
        <c:crossAx val="1578822128"/>
        <c:crosses val="autoZero"/>
        <c:crossBetween val="midCat"/>
      </c:valAx>
      <c:valAx>
        <c:axId val="1578822128"/>
        <c:scaling>
          <c:orientation val="minMax"/>
          <c:max val="2"/>
          <c:min val="-2"/>
        </c:scaling>
        <c:delete val="1"/>
        <c:axPos val="l"/>
        <c:numFmt formatCode="General" sourceLinked="1"/>
        <c:majorTickMark val="none"/>
        <c:minorTickMark val="none"/>
        <c:tickLblPos val="nextTo"/>
        <c:crossAx val="1578821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817147856517939E-2"/>
          <c:y val="4.1666666666666664E-2"/>
          <c:w val="0.8902939632545932"/>
          <c:h val="0.8416746864975212"/>
        </c:manualLayout>
      </c:layout>
      <c:scatterChart>
        <c:scatterStyle val="lineMarker"/>
        <c:varyColors val="0"/>
        <c:ser>
          <c:idx val="1"/>
          <c:order val="0"/>
          <c:tx>
            <c:strRef>
              <c:f>COD_DESC_CAPACT!$K$43</c:f>
              <c:strCache>
                <c:ptCount val="1"/>
                <c:pt idx="0">
                  <c:v>lampada gráfico</c:v>
                </c:pt>
              </c:strCache>
            </c:strRef>
          </c:tx>
          <c:spPr>
            <a:ln w="1270000" cap="flat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dPt>
            <c:idx val="0"/>
            <c:bubble3D val="0"/>
            <c:spPr>
              <a:ln w="19050" cap="rnd">
                <a:solidFill>
                  <a:schemeClr val="accent2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4D8-4807-8D34-C4A79ECF5411}"/>
              </c:ext>
            </c:extLst>
          </c:dPt>
          <c:xVal>
            <c:numRef>
              <c:f>COD_DESC_CAPACT!$L$44:$L$45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COD_DESC_CAPACT!$M$44:$M$45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450-43E4-8B51-4B0C83DD75D7}"/>
            </c:ext>
          </c:extLst>
        </c:ser>
        <c:ser>
          <c:idx val="0"/>
          <c:order val="1"/>
          <c:tx>
            <c:strRef>
              <c:f>COD_DESC_CAPACT!$K$46</c:f>
              <c:strCache>
                <c:ptCount val="1"/>
                <c:pt idx="0">
                  <c:v>fundo da lampada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COD_DESC_CAPACT!$L$47</c:f>
              <c:numCache>
                <c:formatCode>General</c:formatCode>
                <c:ptCount val="1"/>
                <c:pt idx="0">
                  <c:v>1.95</c:v>
                </c:pt>
              </c:numCache>
            </c:numRef>
          </c:xVal>
          <c:yVal>
            <c:numRef>
              <c:f>COD_DESC_CAPACT!$M$47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450-43E4-8B51-4B0C83DD75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2171007"/>
        <c:axId val="1740888079"/>
      </c:scatterChart>
      <c:valAx>
        <c:axId val="1432171007"/>
        <c:scaling>
          <c:orientation val="minMax"/>
          <c:max val="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740888079"/>
        <c:crosses val="autoZero"/>
        <c:crossBetween val="midCat"/>
      </c:valAx>
      <c:valAx>
        <c:axId val="1740888079"/>
        <c:scaling>
          <c:orientation val="minMax"/>
          <c:max val="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4321710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COD_DESC_CAPACT!$O$44</c:f>
              <c:strCache>
                <c:ptCount val="1"/>
                <c:pt idx="0">
                  <c:v>caso1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COD_DESC_CAPACT!$P$44</c:f>
              <c:numCache>
                <c:formatCode>General</c:formatCode>
                <c:ptCount val="1"/>
                <c:pt idx="0">
                  <c:v>25</c:v>
                </c:pt>
              </c:numCache>
            </c:numRef>
          </c:xVal>
          <c:yVal>
            <c:numRef>
              <c:f>COD_DESC_CAPACT!$Q$44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99-4A34-939E-B4C9CE0509B4}"/>
            </c:ext>
          </c:extLst>
        </c:ser>
        <c:ser>
          <c:idx val="1"/>
          <c:order val="1"/>
          <c:tx>
            <c:strRef>
              <c:f>COD_DESC_CAPACT!$O$45</c:f>
              <c:strCache>
                <c:ptCount val="1"/>
                <c:pt idx="0">
                  <c:v>caso2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COD_DESC_CAPACT!$P$45</c:f>
              <c:numCache>
                <c:formatCode>General</c:formatCode>
                <c:ptCount val="1"/>
                <c:pt idx="0">
                  <c:v>25</c:v>
                </c:pt>
              </c:numCache>
            </c:numRef>
          </c:xVal>
          <c:yVal>
            <c:numRef>
              <c:f>COD_DESC_CAPACT!$Q$45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399-4A34-939E-B4C9CE0509B4}"/>
            </c:ext>
          </c:extLst>
        </c:ser>
        <c:ser>
          <c:idx val="2"/>
          <c:order val="2"/>
          <c:tx>
            <c:strRef>
              <c:f>COD_DESC_CAPACT!$O$46</c:f>
              <c:strCache>
                <c:ptCount val="1"/>
                <c:pt idx="0">
                  <c:v>caso3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COD_DESC_CAPACT!$P$46</c:f>
              <c:numCache>
                <c:formatCode>General</c:formatCode>
                <c:ptCount val="1"/>
                <c:pt idx="0">
                  <c:v>25</c:v>
                </c:pt>
              </c:numCache>
            </c:numRef>
          </c:xVal>
          <c:yVal>
            <c:numRef>
              <c:f>COD_DESC_CAPACT!$Q$46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399-4A34-939E-B4C9CE0509B4}"/>
            </c:ext>
          </c:extLst>
        </c:ser>
        <c:ser>
          <c:idx val="3"/>
          <c:order val="3"/>
          <c:tx>
            <c:strRef>
              <c:f>COD_DESC_CAPACT!$O$47</c:f>
              <c:strCache>
                <c:ptCount val="1"/>
                <c:pt idx="0">
                  <c:v>caso4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5"/>
            <c:spPr>
              <a:noFill/>
              <a:ln w="9525">
                <a:noFill/>
              </a:ln>
              <a:effectLst/>
            </c:spPr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4"/>
                  <a:stretch>
                    <a:fillRect/>
                  </a:stretch>
                </a:blip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BD0B-44A7-A030-7C458B37DA34}"/>
              </c:ext>
            </c:extLst>
          </c:dPt>
          <c:xVal>
            <c:numRef>
              <c:f>COD_DESC_CAPACT!$P$47</c:f>
              <c:numCache>
                <c:formatCode>General</c:formatCode>
                <c:ptCount val="1"/>
                <c:pt idx="0">
                  <c:v>25</c:v>
                </c:pt>
              </c:numCache>
            </c:numRef>
          </c:xVal>
          <c:yVal>
            <c:numRef>
              <c:f>COD_DESC_CAPACT!$Q$47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399-4A34-939E-B4C9CE0509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1909728"/>
        <c:axId val="671906400"/>
      </c:scatterChart>
      <c:valAx>
        <c:axId val="671909728"/>
        <c:scaling>
          <c:orientation val="minMax"/>
          <c:max val="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671906400"/>
        <c:crosses val="autoZero"/>
        <c:crossBetween val="midCat"/>
      </c:valAx>
      <c:valAx>
        <c:axId val="671906400"/>
        <c:scaling>
          <c:orientation val="minMax"/>
          <c:max val="5"/>
          <c:min val="-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671909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COD_DESC_CAPACT!$B$81</c:f>
              <c:strCache>
                <c:ptCount val="1"/>
                <c:pt idx="0">
                  <c:v>p1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COD_DESC_CAPACT!$C$81:$C$82</c:f>
              <c:numCache>
                <c:formatCode>General</c:formatCode>
                <c:ptCount val="2"/>
                <c:pt idx="0">
                  <c:v>8</c:v>
                </c:pt>
                <c:pt idx="1">
                  <c:v>8</c:v>
                </c:pt>
              </c:numCache>
            </c:numRef>
          </c:xVal>
          <c:yVal>
            <c:numRef>
              <c:f>COD_DESC_CAPACT!$D$81:$D$82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A5-4612-B887-0F4C969B9935}"/>
            </c:ext>
          </c:extLst>
        </c:ser>
        <c:ser>
          <c:idx val="1"/>
          <c:order val="1"/>
          <c:tx>
            <c:strRef>
              <c:f>COD_DESC_CAPACT!$B$83</c:f>
              <c:strCache>
                <c:ptCount val="1"/>
                <c:pt idx="0">
                  <c:v>p2(curva)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COD_DESC_CAPACT!$C$83:$C$84</c:f>
              <c:numCache>
                <c:formatCode>General</c:formatCode>
                <c:ptCount val="2"/>
                <c:pt idx="0">
                  <c:v>7.49</c:v>
                </c:pt>
                <c:pt idx="1">
                  <c:v>7.49</c:v>
                </c:pt>
              </c:numCache>
            </c:numRef>
          </c:xVal>
          <c:yVal>
            <c:numRef>
              <c:f>COD_DESC_CAPACT!$D$83:$D$84</c:f>
              <c:numCache>
                <c:formatCode>General</c:formatCode>
                <c:ptCount val="2"/>
                <c:pt idx="0">
                  <c:v>1.98</c:v>
                </c:pt>
                <c:pt idx="1">
                  <c:v>1.98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9A5-4612-B887-0F4C969B9935}"/>
            </c:ext>
          </c:extLst>
        </c:ser>
        <c:ser>
          <c:idx val="2"/>
          <c:order val="2"/>
          <c:tx>
            <c:strRef>
              <c:f>COD_DESC_CAPACT!$B$85</c:f>
              <c:strCache>
                <c:ptCount val="1"/>
                <c:pt idx="0">
                  <c:v>p3</c:v>
                </c:pt>
              </c:strCache>
            </c:strRef>
          </c:tx>
          <c:spPr>
            <a:ln w="539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COD_DESC_CAPACT!$C$85:$C$86</c:f>
              <c:numCache>
                <c:formatCode>General</c:formatCode>
                <c:ptCount val="2"/>
                <c:pt idx="0">
                  <c:v>6.9</c:v>
                </c:pt>
                <c:pt idx="1">
                  <c:v>6.4</c:v>
                </c:pt>
              </c:numCache>
            </c:numRef>
          </c:xVal>
          <c:yVal>
            <c:numRef>
              <c:f>COD_DESC_CAPACT!$D$85:$D$86</c:f>
              <c:numCache>
                <c:formatCode>General</c:formatCode>
                <c:ptCount val="2"/>
                <c:pt idx="0">
                  <c:v>2.9</c:v>
                </c:pt>
                <c:pt idx="1">
                  <c:v>2.9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9A5-4612-B887-0F4C969B9935}"/>
            </c:ext>
          </c:extLst>
        </c:ser>
        <c:ser>
          <c:idx val="3"/>
          <c:order val="3"/>
          <c:tx>
            <c:strRef>
              <c:f>COD_DESC_CAPACT!$B$87</c:f>
              <c:strCache>
                <c:ptCount val="1"/>
                <c:pt idx="0">
                  <c:v>ponta preta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COD_DESC_CAPACT!$C$87:$C$88</c:f>
              <c:numCache>
                <c:formatCode>General</c:formatCode>
                <c:ptCount val="2"/>
                <c:pt idx="0">
                  <c:v>6.4</c:v>
                </c:pt>
                <c:pt idx="1">
                  <c:v>6.4</c:v>
                </c:pt>
              </c:numCache>
            </c:numRef>
          </c:xVal>
          <c:yVal>
            <c:numRef>
              <c:f>COD_DESC_CAPACT!$D$87:$D$88</c:f>
              <c:numCache>
                <c:formatCode>General</c:formatCode>
                <c:ptCount val="2"/>
                <c:pt idx="0">
                  <c:v>2.9</c:v>
                </c:pt>
                <c:pt idx="1">
                  <c:v>2.9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9A5-4612-B887-0F4C969B9935}"/>
            </c:ext>
          </c:extLst>
        </c:ser>
        <c:ser>
          <c:idx val="4"/>
          <c:order val="4"/>
          <c:tx>
            <c:strRef>
              <c:f>COD_DESC_CAPACT!$E$81</c:f>
              <c:strCache>
                <c:ptCount val="1"/>
                <c:pt idx="0">
                  <c:v>v1</c:v>
                </c:pt>
              </c:strCache>
            </c:strRef>
          </c:tx>
          <c:spPr>
            <a:ln w="539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COD_DESC_CAPACT!$F$81:$F$82</c:f>
              <c:numCache>
                <c:formatCode>General</c:formatCode>
                <c:ptCount val="2"/>
                <c:pt idx="0">
                  <c:v>9</c:v>
                </c:pt>
                <c:pt idx="1">
                  <c:v>9</c:v>
                </c:pt>
              </c:numCache>
            </c:numRef>
          </c:xVal>
          <c:yVal>
            <c:numRef>
              <c:f>COD_DESC_CAPACT!$G$81:$G$82</c:f>
              <c:numCache>
                <c:formatCode>General</c:formatCode>
                <c:ptCount val="2"/>
                <c:pt idx="0">
                  <c:v>0</c:v>
                </c:pt>
                <c:pt idx="1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9A5-4612-B887-0F4C969B9935}"/>
            </c:ext>
          </c:extLst>
        </c:ser>
        <c:ser>
          <c:idx val="5"/>
          <c:order val="5"/>
          <c:tx>
            <c:strRef>
              <c:f>COD_DESC_CAPACT!$F$83:$F$84</c:f>
              <c:strCache>
                <c:ptCount val="2"/>
                <c:pt idx="0">
                  <c:v>8,49</c:v>
                </c:pt>
                <c:pt idx="1">
                  <c:v>8,49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3"/>
                  <a:stretch>
                    <a:fillRect/>
                  </a:stretch>
                </a:blip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8-79A5-4612-B887-0F4C969B9935}"/>
              </c:ext>
            </c:extLst>
          </c:dPt>
          <c:xVal>
            <c:numRef>
              <c:f>COD_DESC_CAPACT!$F$83:$F$84</c:f>
              <c:numCache>
                <c:formatCode>General</c:formatCode>
                <c:ptCount val="2"/>
                <c:pt idx="0">
                  <c:v>8.49</c:v>
                </c:pt>
                <c:pt idx="1">
                  <c:v>8.49</c:v>
                </c:pt>
              </c:numCache>
            </c:numRef>
          </c:xVal>
          <c:yVal>
            <c:numRef>
              <c:f>COD_DESC_CAPACT!$G$83:$G$84</c:f>
              <c:numCache>
                <c:formatCode>General</c:formatCode>
                <c:ptCount val="2"/>
                <c:pt idx="0">
                  <c:v>7.95</c:v>
                </c:pt>
                <c:pt idx="1">
                  <c:v>7.95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9A5-4612-B887-0F4C969B9935}"/>
            </c:ext>
          </c:extLst>
        </c:ser>
        <c:ser>
          <c:idx val="6"/>
          <c:order val="6"/>
          <c:tx>
            <c:strRef>
              <c:f>COD_DESC_CAPACT!$E$85</c:f>
              <c:strCache>
                <c:ptCount val="1"/>
                <c:pt idx="0">
                  <c:v>v3</c:v>
                </c:pt>
              </c:strCache>
            </c:strRef>
          </c:tx>
          <c:spPr>
            <a:ln w="539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COD_DESC_CAPACT!$F$85:$F$86</c:f>
              <c:numCache>
                <c:formatCode>General</c:formatCode>
                <c:ptCount val="2"/>
                <c:pt idx="0">
                  <c:v>8</c:v>
                </c:pt>
                <c:pt idx="1">
                  <c:v>6.4</c:v>
                </c:pt>
              </c:numCache>
            </c:numRef>
          </c:xVal>
          <c:yVal>
            <c:numRef>
              <c:f>COD_DESC_CAPACT!$G$85:$G$86</c:f>
              <c:numCache>
                <c:formatCode>General</c:formatCode>
                <c:ptCount val="2"/>
                <c:pt idx="0">
                  <c:v>8.7799999999999994</c:v>
                </c:pt>
                <c:pt idx="1">
                  <c:v>8.7799999999999994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9A5-4612-B887-0F4C969B9935}"/>
            </c:ext>
          </c:extLst>
        </c:ser>
        <c:ser>
          <c:idx val="7"/>
          <c:order val="7"/>
          <c:tx>
            <c:strRef>
              <c:f>COD_DESC_CAPACT!$E$87</c:f>
              <c:strCache>
                <c:ptCount val="1"/>
                <c:pt idx="0">
                  <c:v>ponta vermelha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  <a:ln w="9525">
                <a:noFill/>
              </a:ln>
              <a:effectLst/>
            </c:spPr>
          </c:marker>
          <c:xVal>
            <c:numRef>
              <c:f>COD_DESC_CAPACT!$F$87:$F$88</c:f>
              <c:numCache>
                <c:formatCode>General</c:formatCode>
                <c:ptCount val="2"/>
                <c:pt idx="0">
                  <c:v>6.4</c:v>
                </c:pt>
                <c:pt idx="1">
                  <c:v>6.4</c:v>
                </c:pt>
              </c:numCache>
            </c:numRef>
          </c:xVal>
          <c:yVal>
            <c:numRef>
              <c:f>COD_DESC_CAPACT!$G$87:$G$88</c:f>
              <c:numCache>
                <c:formatCode>General</c:formatCode>
                <c:ptCount val="2"/>
                <c:pt idx="0">
                  <c:v>8.7799999999999994</c:v>
                </c:pt>
                <c:pt idx="1">
                  <c:v>8.7799999999999994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79A5-4612-B887-0F4C969B99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429039"/>
        <c:axId val="256281999"/>
      </c:scatterChart>
      <c:valAx>
        <c:axId val="245429039"/>
        <c:scaling>
          <c:orientation val="minMax"/>
          <c:max val="10"/>
          <c:min val="0"/>
        </c:scaling>
        <c:delete val="1"/>
        <c:axPos val="b"/>
        <c:numFmt formatCode="General" sourceLinked="1"/>
        <c:majorTickMark val="none"/>
        <c:minorTickMark val="none"/>
        <c:tickLblPos val="nextTo"/>
        <c:crossAx val="256281999"/>
        <c:crosses val="autoZero"/>
        <c:crossBetween val="midCat"/>
      </c:valAx>
      <c:valAx>
        <c:axId val="256281999"/>
        <c:scaling>
          <c:orientation val="minMax"/>
          <c:max val="10"/>
          <c:min val="0"/>
        </c:scaling>
        <c:delete val="1"/>
        <c:axPos val="l"/>
        <c:numFmt formatCode="General" sourceLinked="1"/>
        <c:majorTickMark val="none"/>
        <c:minorTickMark val="none"/>
        <c:tickLblPos val="nextTo"/>
        <c:crossAx val="2454290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838825090297653E-2"/>
          <c:y val="8.4818764743014724E-2"/>
          <c:w val="0.90028696412948384"/>
          <c:h val="0.852047250259456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COD_DESC_CAPACT!$AA$61</c:f>
              <c:strCache>
                <c:ptCount val="1"/>
                <c:pt idx="0">
                  <c:v>raio</c:v>
                </c:pt>
              </c:strCache>
            </c:strRef>
          </c:tx>
          <c:spPr>
            <a:ln w="149225" cap="rnd">
              <a:solidFill>
                <a:schemeClr val="bg2">
                  <a:lumMod val="1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circle"/>
              <c:size val="6"/>
              <c:spPr>
                <a:solidFill>
                  <a:schemeClr val="bg2">
                    <a:lumMod val="50000"/>
                  </a:schemeClr>
                </a:solidFill>
                <a:ln w="19050">
                  <a:solidFill>
                    <a:schemeClr val="tx1">
                      <a:lumMod val="75000"/>
                      <a:lumOff val="25000"/>
                      <a:alpha val="97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8-716E-403B-9F90-089E09FE4D44}"/>
              </c:ext>
            </c:extLst>
          </c:dPt>
          <c:xVal>
            <c:numRef>
              <c:f>COD_DESC_CAPACT!$AA$63:$AA$64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COD_DESC_CAPACT!$AB$63:$AB$64</c:f>
              <c:numCache>
                <c:formatCode>General</c:formatCode>
                <c:ptCount val="2"/>
                <c:pt idx="0">
                  <c:v>0</c:v>
                </c:pt>
                <c:pt idx="1">
                  <c:v>4.5999999999999996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16E-403B-9F90-089E09FE4D44}"/>
            </c:ext>
          </c:extLst>
        </c:ser>
        <c:ser>
          <c:idx val="1"/>
          <c:order val="1"/>
          <c:tx>
            <c:strRef>
              <c:f>COD_DESC_CAPACT!$AA$66</c:f>
              <c:strCache>
                <c:ptCount val="1"/>
                <c:pt idx="0">
                  <c:v>raio 2</c:v>
                </c:pt>
              </c:strCache>
            </c:strRef>
          </c:tx>
          <c:spPr>
            <a:ln w="111125" cap="rnd">
              <a:solidFill>
                <a:schemeClr val="bg2">
                  <a:lumMod val="2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COD_DESC_CAPACT!$AA$68:$AA$69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COD_DESC_CAPACT!$AB$68:$AB$69</c:f>
              <c:numCache>
                <c:formatCode>General</c:formatCode>
                <c:ptCount val="2"/>
                <c:pt idx="0">
                  <c:v>0</c:v>
                </c:pt>
                <c:pt idx="1">
                  <c:v>2.9899999999999998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16E-403B-9F90-089E09FE4D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326191"/>
        <c:axId val="364157599"/>
      </c:scatterChart>
      <c:valAx>
        <c:axId val="350326191"/>
        <c:scaling>
          <c:orientation val="minMax"/>
          <c:max val="6"/>
          <c:min val="-6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64157599"/>
        <c:crosses val="autoZero"/>
        <c:crossBetween val="midCat"/>
      </c:valAx>
      <c:valAx>
        <c:axId val="364157599"/>
        <c:scaling>
          <c:orientation val="minMax"/>
          <c:max val="6"/>
          <c:min val="-6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50326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85000"/>
        <a:lumOff val="1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COD_DESC_CAPACT!$CJ$10</c:f>
              <c:strCache>
                <c:ptCount val="1"/>
                <c:pt idx="0">
                  <c:v>grafico capact</c:v>
                </c:pt>
              </c:strCache>
            </c:strRef>
          </c:tx>
          <c:spPr>
            <a:ln w="254000" cap="flat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COD_DESC_CAPACT!$CK$11:$CK$12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COD_DESC_CAPACT!$CL$11:$CL$12</c:f>
              <c:numCache>
                <c:formatCode>General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7E-412D-9DA2-D6E5B71A2A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6590543"/>
        <c:axId val="1726590127"/>
      </c:scatterChart>
      <c:valAx>
        <c:axId val="1726590543"/>
        <c:scaling>
          <c:orientation val="minMax"/>
          <c:max val="30"/>
          <c:min val="0"/>
        </c:scaling>
        <c:delete val="1"/>
        <c:axPos val="b"/>
        <c:numFmt formatCode="General" sourceLinked="1"/>
        <c:majorTickMark val="none"/>
        <c:minorTickMark val="none"/>
        <c:tickLblPos val="nextTo"/>
        <c:crossAx val="1726590127"/>
        <c:crosses val="autoZero"/>
        <c:crossBetween val="midCat"/>
      </c:valAx>
      <c:valAx>
        <c:axId val="1726590127"/>
        <c:scaling>
          <c:orientation val="minMax"/>
          <c:max val="1"/>
          <c:min val="0"/>
        </c:scaling>
        <c:delete val="1"/>
        <c:axPos val="l"/>
        <c:numFmt formatCode="General" sourceLinked="1"/>
        <c:majorTickMark val="none"/>
        <c:minorTickMark val="none"/>
        <c:tickLblPos val="nextTo"/>
        <c:crossAx val="17265905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COD_DESC_CAPACT!$CI$18</c:f>
              <c:strCache>
                <c:ptCount val="1"/>
                <c:pt idx="0">
                  <c:v>descarga do capacitor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1"/>
            <c:trendlineLbl>
              <c:layout>
                <c:manualLayout>
                  <c:x val="-0.10452799650043744"/>
                  <c:y val="-0.478326042578011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COD_DESC_CAPACT!$CO$23:$CO$30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COD_DESC_CAPACT!$CN$23:$CN$30</c:f>
              <c:numCache>
                <c:formatCode>General</c:formatCode>
                <c:ptCount val="8"/>
                <c:pt idx="0">
                  <c:v>-300</c:v>
                </c:pt>
                <c:pt idx="1">
                  <c:v>-300</c:v>
                </c:pt>
                <c:pt idx="2">
                  <c:v>-300</c:v>
                </c:pt>
                <c:pt idx="3">
                  <c:v>-300</c:v>
                </c:pt>
                <c:pt idx="4">
                  <c:v>-300</c:v>
                </c:pt>
                <c:pt idx="5">
                  <c:v>-300</c:v>
                </c:pt>
                <c:pt idx="6">
                  <c:v>-300</c:v>
                </c:pt>
                <c:pt idx="7">
                  <c:v>-300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59-4A7C-8238-525D22D940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137743"/>
        <c:axId val="146109743"/>
      </c:scatterChart>
      <c:valAx>
        <c:axId val="114137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46109743"/>
        <c:crosses val="autoZero"/>
        <c:crossBetween val="midCat"/>
      </c:valAx>
      <c:valAx>
        <c:axId val="146109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14137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COD_DESC_CAPACT!$CN$22</c:f>
              <c:strCache>
                <c:ptCount val="1"/>
                <c:pt idx="0">
                  <c:v>V</c:v>
                </c:pt>
              </c:strCache>
            </c:strRef>
          </c:tx>
          <c:spPr>
            <a:ln w="698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COD_DESC_CAPACT!$CO$23:$CO$30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COD_DESC_CAPACT!$CN$23:$CN$30</c:f>
              <c:numCache>
                <c:formatCode>General</c:formatCode>
                <c:ptCount val="8"/>
                <c:pt idx="0">
                  <c:v>-300</c:v>
                </c:pt>
                <c:pt idx="1">
                  <c:v>-300</c:v>
                </c:pt>
                <c:pt idx="2">
                  <c:v>-300</c:v>
                </c:pt>
                <c:pt idx="3">
                  <c:v>-300</c:v>
                </c:pt>
                <c:pt idx="4">
                  <c:v>-300</c:v>
                </c:pt>
                <c:pt idx="5">
                  <c:v>-300</c:v>
                </c:pt>
                <c:pt idx="6">
                  <c:v>-300</c:v>
                </c:pt>
                <c:pt idx="7">
                  <c:v>-300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A7-42C2-AEB0-416F94181F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4251807"/>
        <c:axId val="404252639"/>
      </c:scatterChart>
      <c:valAx>
        <c:axId val="404251807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1100"/>
                  <a:t>t (</a:t>
                </a:r>
                <a:r>
                  <a:rPr lang="pt-BR" sz="1100" i="1"/>
                  <a:t>s</a:t>
                </a:r>
                <a:r>
                  <a:rPr lang="pt-BR" sz="1100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out"/>
        <c:minorTickMark val="none"/>
        <c:tickLblPos val="nextTo"/>
        <c:crossAx val="404252639"/>
        <c:crosses val="autoZero"/>
        <c:crossBetween val="midCat"/>
      </c:valAx>
      <c:valAx>
        <c:axId val="404252639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1100"/>
                  <a:t>V</a:t>
                </a:r>
                <a:r>
                  <a:rPr lang="pt-BR" sz="1100" baseline="0"/>
                  <a:t>  (</a:t>
                </a:r>
                <a:r>
                  <a:rPr lang="pt-BR" sz="1100" i="1" baseline="0"/>
                  <a:t>V</a:t>
                </a:r>
                <a:r>
                  <a:rPr lang="pt-BR" sz="1100" i="0" baseline="0"/>
                  <a:t>)</a:t>
                </a:r>
                <a:endParaRPr lang="pt-BR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out"/>
        <c:minorTickMark val="none"/>
        <c:tickLblPos val="nextTo"/>
        <c:crossAx val="4042518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COD_DESC_CAPACT!$CI$18</c:f>
              <c:strCache>
                <c:ptCount val="1"/>
                <c:pt idx="0">
                  <c:v>descarga do capacitor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trendline>
            <c:spPr>
              <a:ln w="34925" cap="rnd">
                <a:solidFill>
                  <a:schemeClr val="accent2"/>
                </a:solidFill>
                <a:prstDash val="solid"/>
              </a:ln>
              <a:effectLst/>
            </c:spPr>
            <c:trendlineType val="exp"/>
            <c:dispRSqr val="0"/>
            <c:dispEq val="0"/>
          </c:trendline>
          <c:xVal>
            <c:numRef>
              <c:f>COD_DESC_CAPACT!$CO$23:$CO$30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COD_DESC_CAPACT!$CN$23:$CN$30</c:f>
              <c:numCache>
                <c:formatCode>General</c:formatCode>
                <c:ptCount val="8"/>
                <c:pt idx="0">
                  <c:v>-300</c:v>
                </c:pt>
                <c:pt idx="1">
                  <c:v>-300</c:v>
                </c:pt>
                <c:pt idx="2">
                  <c:v>-300</c:v>
                </c:pt>
                <c:pt idx="3">
                  <c:v>-300</c:v>
                </c:pt>
                <c:pt idx="4">
                  <c:v>-300</c:v>
                </c:pt>
                <c:pt idx="5">
                  <c:v>-300</c:v>
                </c:pt>
                <c:pt idx="6">
                  <c:v>-300</c:v>
                </c:pt>
                <c:pt idx="7">
                  <c:v>-300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23-4F4A-B42A-50E8BD1FA4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137743"/>
        <c:axId val="146109743"/>
      </c:scatterChart>
      <c:valAx>
        <c:axId val="114137743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1100" b="1"/>
                  <a:t>t (</a:t>
                </a:r>
                <a:r>
                  <a:rPr lang="pt-BR" sz="1100" b="1" i="1"/>
                  <a:t>s</a:t>
                </a:r>
                <a:r>
                  <a:rPr lang="pt-BR" sz="1100" b="1" i="0"/>
                  <a:t>)</a:t>
                </a:r>
                <a:endParaRPr lang="pt-BR" sz="11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out"/>
        <c:minorTickMark val="none"/>
        <c:tickLblPos val="nextTo"/>
        <c:crossAx val="146109743"/>
        <c:crosses val="autoZero"/>
        <c:crossBetween val="midCat"/>
      </c:valAx>
      <c:valAx>
        <c:axId val="146109743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1100" b="1"/>
                  <a:t>V (</a:t>
                </a:r>
                <a:r>
                  <a:rPr lang="pt-BR" sz="1100" b="1" i="1"/>
                  <a:t>V</a:t>
                </a:r>
                <a:r>
                  <a:rPr lang="pt-BR" sz="1100" b="1" i="0"/>
                  <a:t>)</a:t>
                </a:r>
                <a:endParaRPr lang="pt-BR" sz="11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out"/>
        <c:minorTickMark val="none"/>
        <c:tickLblPos val="nextTo"/>
        <c:crossAx val="114137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COD_DESC_CAPACT!$CP$5</c:f>
              <c:strCache>
                <c:ptCount val="1"/>
                <c:pt idx="0">
                  <c:v>Energia</c:v>
                </c:pt>
              </c:strCache>
            </c:strRef>
          </c:tx>
          <c:spPr>
            <a:ln w="254000" cap="flat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COD_DESC_CAPACT!$CU$8:$CU$9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COD_DESC_CAPACT!$CV$8:$CV$9</c:f>
              <c:numCache>
                <c:formatCode>General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AAE-46CE-8036-F0072B19BE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6590543"/>
        <c:axId val="1726590127"/>
      </c:scatterChart>
      <c:valAx>
        <c:axId val="1726590543"/>
        <c:scaling>
          <c:orientation val="minMax"/>
          <c:max val="30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1726590127"/>
        <c:crosses val="autoZero"/>
        <c:crossBetween val="midCat"/>
      </c:valAx>
      <c:valAx>
        <c:axId val="1726590127"/>
        <c:scaling>
          <c:orientation val="minMax"/>
          <c:max val="1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17265905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836388320709139E-2"/>
          <c:y val="5.0202716441424419E-2"/>
          <c:w val="0.88887729658792647"/>
          <c:h val="0.87979057163309127"/>
        </c:manualLayout>
      </c:layout>
      <c:scatterChart>
        <c:scatterStyle val="lineMarker"/>
        <c:varyColors val="0"/>
        <c:ser>
          <c:idx val="0"/>
          <c:order val="0"/>
          <c:tx>
            <c:strRef>
              <c:f>COD_DESC_CAPACT!$D$108</c:f>
              <c:strCache>
                <c:ptCount val="1"/>
                <c:pt idx="0">
                  <c:v>raio1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COD_DESC_CAPACT!$E$108:$E$109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COD_DESC_CAPACT!$F$108:$F$109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D68-42D9-9809-E2C589FAF6CD}"/>
            </c:ext>
          </c:extLst>
        </c:ser>
        <c:ser>
          <c:idx val="1"/>
          <c:order val="1"/>
          <c:tx>
            <c:strRef>
              <c:f>COD_DESC_CAPACT!$D$110</c:f>
              <c:strCache>
                <c:ptCount val="1"/>
                <c:pt idx="0">
                  <c:v>raio2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76200" cap="rnd">
                <a:solidFill>
                  <a:srgbClr val="FF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8D68-42D9-9809-E2C589FAF6CD}"/>
              </c:ext>
            </c:extLst>
          </c:dPt>
          <c:xVal>
            <c:numRef>
              <c:f>COD_DESC_CAPACT!$E$110:$E$111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COD_DESC_CAPACT!$F$110:$F$111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D68-42D9-9809-E2C589FAF6CD}"/>
            </c:ext>
          </c:extLst>
        </c:ser>
        <c:ser>
          <c:idx val="2"/>
          <c:order val="2"/>
          <c:tx>
            <c:strRef>
              <c:f>COD_DESC_CAPACT!$D$112</c:f>
              <c:strCache>
                <c:ptCount val="1"/>
                <c:pt idx="0">
                  <c:v>raio3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COD_DESC_CAPACT!$E$112:$E$113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COD_DESC_CAPACT!$F$112:$F$113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D68-42D9-9809-E2C589FAF6CD}"/>
            </c:ext>
          </c:extLst>
        </c:ser>
        <c:ser>
          <c:idx val="3"/>
          <c:order val="3"/>
          <c:tx>
            <c:strRef>
              <c:f>COD_DESC_CAPACT!$D$114</c:f>
              <c:strCache>
                <c:ptCount val="1"/>
                <c:pt idx="0">
                  <c:v>raio4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COD_DESC_CAPACT!$E$114:$E$115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COD_DESC_CAPACT!$F$114:$F$115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D68-42D9-9809-E2C589FAF6CD}"/>
            </c:ext>
          </c:extLst>
        </c:ser>
        <c:ser>
          <c:idx val="4"/>
          <c:order val="4"/>
          <c:tx>
            <c:strRef>
              <c:f>COD_DESC_CAPACT!$D$116</c:f>
              <c:strCache>
                <c:ptCount val="1"/>
                <c:pt idx="0">
                  <c:v>raio5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COD_DESC_CAPACT!$E$116:$E$117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COD_DESC_CAPACT!$F$116:$F$117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D68-42D9-9809-E2C589FAF6CD}"/>
            </c:ext>
          </c:extLst>
        </c:ser>
        <c:ser>
          <c:idx val="5"/>
          <c:order val="5"/>
          <c:tx>
            <c:strRef>
              <c:f>COD_DESC_CAPACT!$D$118</c:f>
              <c:strCache>
                <c:ptCount val="1"/>
                <c:pt idx="0">
                  <c:v>raio6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COD_DESC_CAPACT!$E$118:$E$119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COD_DESC_CAPACT!$F$118:$F$119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8D68-42D9-9809-E2C589FAF6CD}"/>
            </c:ext>
          </c:extLst>
        </c:ser>
        <c:ser>
          <c:idx val="6"/>
          <c:order val="6"/>
          <c:tx>
            <c:strRef>
              <c:f>COD_DESC_CAPACT!$D$120</c:f>
              <c:strCache>
                <c:ptCount val="1"/>
                <c:pt idx="0">
                  <c:v>raio7</c:v>
                </c:pt>
              </c:strCache>
            </c:strRef>
          </c:tx>
          <c:spPr>
            <a:ln w="762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COD_DESC_CAPACT!$E$120:$E$121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COD_DESC_CAPACT!$F$120:$F$121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8D68-42D9-9809-E2C589FAF6CD}"/>
            </c:ext>
          </c:extLst>
        </c:ser>
        <c:ser>
          <c:idx val="7"/>
          <c:order val="7"/>
          <c:tx>
            <c:strRef>
              <c:f>COD_DESC_CAPACT!$D$141</c:f>
              <c:strCache>
                <c:ptCount val="1"/>
                <c:pt idx="0">
                  <c:v>RAIO 1.1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COD_DESC_CAPACT!$E$141:$E$142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COD_DESC_CAPACT!$F$141:$F$142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DE-420E-A646-71C8E095C25D}"/>
            </c:ext>
          </c:extLst>
        </c:ser>
        <c:ser>
          <c:idx val="8"/>
          <c:order val="8"/>
          <c:tx>
            <c:strRef>
              <c:f>COD_DESC_CAPACT!$D$143</c:f>
              <c:strCache>
                <c:ptCount val="1"/>
                <c:pt idx="0">
                  <c:v>RAIO 2.1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COD_DESC_CAPACT!$E$143:$E$144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COD_DESC_CAPACT!$F$143:$F$144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DE-420E-A646-71C8E095C25D}"/>
            </c:ext>
          </c:extLst>
        </c:ser>
        <c:ser>
          <c:idx val="9"/>
          <c:order val="9"/>
          <c:tx>
            <c:strRef>
              <c:f>COD_DESC_CAPACT!$D$145</c:f>
              <c:strCache>
                <c:ptCount val="1"/>
                <c:pt idx="0">
                  <c:v>RAIO 3.1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COD_DESC_CAPACT!$E$145:$E$146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COD_DESC_CAPACT!$F$145:$F$146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DE-420E-A646-71C8E095C25D}"/>
            </c:ext>
          </c:extLst>
        </c:ser>
        <c:ser>
          <c:idx val="10"/>
          <c:order val="10"/>
          <c:tx>
            <c:strRef>
              <c:f>COD_DESC_CAPACT!$D$147</c:f>
              <c:strCache>
                <c:ptCount val="1"/>
                <c:pt idx="0">
                  <c:v>RAIO 4.1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COD_DESC_CAPACT!$E$147:$E$148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COD_DESC_CAPACT!$F$147:$F$148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DE-420E-A646-71C8E095C25D}"/>
            </c:ext>
          </c:extLst>
        </c:ser>
        <c:ser>
          <c:idx val="11"/>
          <c:order val="11"/>
          <c:tx>
            <c:strRef>
              <c:f>COD_DESC_CAPACT!$D$149</c:f>
              <c:strCache>
                <c:ptCount val="1"/>
                <c:pt idx="0">
                  <c:v>RAIO 5.1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COD_DESC_CAPACT!$E$149:$E$150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COD_DESC_CAPACT!$F$149:$F$150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8DE-420E-A646-71C8E095C25D}"/>
            </c:ext>
          </c:extLst>
        </c:ser>
        <c:ser>
          <c:idx val="12"/>
          <c:order val="12"/>
          <c:tx>
            <c:strRef>
              <c:f>COD_DESC_CAPACT!$D$151</c:f>
              <c:strCache>
                <c:ptCount val="1"/>
                <c:pt idx="0">
                  <c:v>RAIO 6.1</c:v>
                </c:pt>
              </c:strCache>
            </c:strRef>
          </c:tx>
          <c:spPr>
            <a:ln w="381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COD_DESC_CAPACT!$E$151:$E$152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COD_DESC_CAPACT!$F$151:$F$152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98DE-420E-A646-71C8E095C2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454080"/>
        <c:axId val="41459072"/>
      </c:scatterChart>
      <c:valAx>
        <c:axId val="41454080"/>
        <c:scaling>
          <c:orientation val="minMax"/>
          <c:max val="10"/>
          <c:min val="-5"/>
        </c:scaling>
        <c:delete val="1"/>
        <c:axPos val="b"/>
        <c:numFmt formatCode="General" sourceLinked="1"/>
        <c:majorTickMark val="out"/>
        <c:minorTickMark val="none"/>
        <c:tickLblPos val="nextTo"/>
        <c:crossAx val="41459072"/>
        <c:crosses val="autoZero"/>
        <c:crossBetween val="midCat"/>
        <c:majorUnit val="1"/>
      </c:valAx>
      <c:valAx>
        <c:axId val="41459072"/>
        <c:scaling>
          <c:orientation val="minMax"/>
          <c:max val="10"/>
          <c:min val="-10"/>
        </c:scaling>
        <c:delete val="1"/>
        <c:axPos val="l"/>
        <c:numFmt formatCode="General" sourceLinked="1"/>
        <c:majorTickMark val="out"/>
        <c:minorTickMark val="none"/>
        <c:tickLblPos val="nextTo"/>
        <c:crossAx val="41454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261592300962375E-2"/>
          <c:y val="0.17634259259259263"/>
          <c:w val="0.8902939632545932"/>
          <c:h val="0.7208876494604841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COD_DESC_CAPACT!$C$125</c:f>
              <c:strCache>
                <c:ptCount val="1"/>
                <c:pt idx="0">
                  <c:v>bola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2"/>
            <c:spPr>
              <a:solidFill>
                <a:schemeClr val="accent4">
                  <a:lumMod val="40000"/>
                  <a:lumOff val="60000"/>
                  <a:alpha val="62000"/>
                </a:schemeClr>
              </a:solidFill>
              <a:ln w="9525">
                <a:noFill/>
              </a:ln>
              <a:effectLst/>
            </c:spPr>
          </c:marker>
          <c:dPt>
            <c:idx val="0"/>
            <c:marker>
              <c:symbol val="circle"/>
              <c:size val="72"/>
              <c:spPr>
                <a:solidFill>
                  <a:schemeClr val="accent4">
                    <a:lumMod val="40000"/>
                    <a:lumOff val="60000"/>
                    <a:alpha val="77000"/>
                  </a:schemeClr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9A72-4D47-81FC-F0CCA5BD283B}"/>
              </c:ext>
            </c:extLst>
          </c:dPt>
          <c:xVal>
            <c:numRef>
              <c:f>COD_DESC_CAPACT!$D$126</c:f>
              <c:numCache>
                <c:formatCode>General</c:formatCode>
                <c:ptCount val="1"/>
                <c:pt idx="0">
                  <c:v>15</c:v>
                </c:pt>
              </c:numCache>
            </c:numRef>
          </c:xVal>
          <c:yVal>
            <c:numRef>
              <c:f>COD_DESC_CAPACT!$E$126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A72-4D47-81FC-F0CCA5BD28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736496"/>
        <c:axId val="143726512"/>
      </c:scatterChart>
      <c:valAx>
        <c:axId val="143736496"/>
        <c:scaling>
          <c:orientation val="minMax"/>
          <c:max val="2"/>
        </c:scaling>
        <c:delete val="1"/>
        <c:axPos val="b"/>
        <c:numFmt formatCode="General" sourceLinked="1"/>
        <c:majorTickMark val="none"/>
        <c:minorTickMark val="none"/>
        <c:tickLblPos val="nextTo"/>
        <c:crossAx val="143726512"/>
        <c:crosses val="autoZero"/>
        <c:crossBetween val="midCat"/>
      </c:valAx>
      <c:valAx>
        <c:axId val="143726512"/>
        <c:scaling>
          <c:orientation val="minMax"/>
          <c:max val="2"/>
          <c:min val="0"/>
        </c:scaling>
        <c:delete val="1"/>
        <c:axPos val="l"/>
        <c:numFmt formatCode="General" sourceLinked="1"/>
        <c:majorTickMark val="none"/>
        <c:minorTickMark val="none"/>
        <c:tickLblPos val="nextTo"/>
        <c:crossAx val="143736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62"/>
          <c:y val="0.11993319016941065"/>
          <c:w val="0.75713333333333332"/>
          <c:h val="0.62760538856823056"/>
        </c:manualLayout>
      </c:layout>
      <c:scatterChart>
        <c:scatterStyle val="lineMarker"/>
        <c:varyColors val="0"/>
        <c:ser>
          <c:idx val="0"/>
          <c:order val="0"/>
          <c:tx>
            <c:strRef>
              <c:f>COD_DESC_CAPACT!$CP$5</c:f>
              <c:strCache>
                <c:ptCount val="1"/>
                <c:pt idx="0">
                  <c:v>Energia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C0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COD_DESC_CAPACT!$CY$7:$CY$15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xVal>
          <c:yVal>
            <c:numRef>
              <c:f>COD_DESC_CAPACT!$CZ$7:$CZ$15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CA-4580-A306-F1D18F7434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137743"/>
        <c:axId val="146109743"/>
      </c:scatterChart>
      <c:valAx>
        <c:axId val="114137743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900" b="1"/>
                  <a:t>V</a:t>
                </a:r>
                <a:r>
                  <a:rPr lang="pt-BR" sz="900" b="1" baseline="0"/>
                  <a:t> (</a:t>
                </a:r>
                <a:r>
                  <a:rPr lang="pt-BR" sz="900" b="1" i="1" baseline="0"/>
                  <a:t>V</a:t>
                </a:r>
                <a:r>
                  <a:rPr lang="pt-BR" sz="900" b="1" i="0" baseline="0"/>
                  <a:t>)</a:t>
                </a:r>
                <a:endParaRPr lang="pt-BR" sz="900" b="1"/>
              </a:p>
            </c:rich>
          </c:tx>
          <c:layout>
            <c:manualLayout>
              <c:xMode val="edge"/>
              <c:yMode val="edge"/>
              <c:x val="0.41706666666666664"/>
              <c:y val="0.79009021595783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out"/>
        <c:minorTickMark val="none"/>
        <c:tickLblPos val="nextTo"/>
        <c:crossAx val="146109743"/>
        <c:crosses val="autoZero"/>
        <c:crossBetween val="midCat"/>
      </c:valAx>
      <c:valAx>
        <c:axId val="146109743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900" b="1" i="0"/>
                  <a:t>E (</a:t>
                </a:r>
                <a:r>
                  <a:rPr lang="pt-BR" sz="900" b="1" i="1"/>
                  <a:t>pJ</a:t>
                </a:r>
                <a:r>
                  <a:rPr lang="pt-BR" sz="900" b="1" i="0"/>
                  <a:t>)</a:t>
                </a:r>
                <a:endParaRPr lang="pt-BR" sz="900" b="1"/>
              </a:p>
            </c:rich>
          </c:tx>
          <c:layout>
            <c:manualLayout>
              <c:xMode val="edge"/>
              <c:yMode val="edge"/>
              <c:x val="6.6666666666666666E-2"/>
              <c:y val="0.360539987450040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out"/>
        <c:minorTickMark val="none"/>
        <c:tickLblPos val="nextTo"/>
        <c:crossAx val="114137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 x 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COD_DESC_CAPACT!$DF$11:$DF$18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COD_DESC_CAPACT!$DG$11:$DG$18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B3-4D2F-B1C0-69D7754FDF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6992000"/>
        <c:axId val="1916999488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v>E x t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COD_DESC_CAPACT!$DF$11:$DF$18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COD_DESC_CAPACT!$DH$11:$DH$18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E2B3-4D2F-B1C0-69D7754FDF5E}"/>
                  </c:ext>
                </c:extLst>
              </c15:ser>
            </c15:filteredScatterSeries>
          </c:ext>
        </c:extLst>
      </c:scatterChart>
      <c:valAx>
        <c:axId val="1916992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16999488"/>
        <c:crosses val="autoZero"/>
        <c:crossBetween val="midCat"/>
      </c:valAx>
      <c:valAx>
        <c:axId val="1916999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16992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tx>
            <c:v>E x 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COD_DESC_CAPACT!$DF$11:$DF$18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  <c:extLst xmlns:c15="http://schemas.microsoft.com/office/drawing/2012/chart"/>
            </c:numRef>
          </c:xVal>
          <c:yVal>
            <c:numRef>
              <c:f>COD_DESC_CAPACT!$DH$11:$DH$18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  <c:extLst xmlns:c15="http://schemas.microsoft.com/office/drawing/2012/chart"/>
            </c:numRef>
          </c:yVal>
          <c:smooth val="0"/>
          <c:extLst>
            <c:ext xmlns:c16="http://schemas.microsoft.com/office/drawing/2014/chart" uri="{C3380CC4-5D6E-409C-BE32-E72D297353CC}">
              <c16:uniqueId val="{00000001-04AE-48AE-B9C4-CF3EEC058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6992000"/>
        <c:axId val="1916999488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v x t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COD_DESC_CAPACT!$DF$11:$DF$18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COD_DESC_CAPACT!$DG$11:$DG$18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04AE-48AE-B9C4-CF3EEC058608}"/>
                  </c:ext>
                </c:extLst>
              </c15:ser>
            </c15:filteredScatterSeries>
          </c:ext>
        </c:extLst>
      </c:scatterChart>
      <c:valAx>
        <c:axId val="1916992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16999488"/>
        <c:crosses val="autoZero"/>
        <c:crossBetween val="midCat"/>
      </c:valAx>
      <c:valAx>
        <c:axId val="1916999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16992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lineMarker"/>
        <c:varyColors val="0"/>
        <c:ser>
          <c:idx val="2"/>
          <c:order val="2"/>
          <c:tx>
            <c:v>E x V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COD_DESC_CAPACT!$DG$11:$DG$18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COD_DESC_CAPACT!$DH$11:$DH$18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190-4989-AF93-4998B18B9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6992000"/>
        <c:axId val="1916999488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v x t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COD_DESC_CAPACT!$DF$11:$DF$18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COD_DESC_CAPACT!$DG$11:$DG$18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0190-4989-AF93-4998B18B9208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v>E x t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COD_DESC_CAPACT!$DF$11:$DF$18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COD_DESC_CAPACT!$DH$11:$DH$18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0190-4989-AF93-4998B18B9208}"/>
                  </c:ext>
                </c:extLst>
              </c15:ser>
            </c15:filteredScatterSeries>
          </c:ext>
        </c:extLst>
      </c:scatterChart>
      <c:valAx>
        <c:axId val="1916992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16999488"/>
        <c:crosses val="autoZero"/>
        <c:crossBetween val="midCat"/>
      </c:valAx>
      <c:valAx>
        <c:axId val="1916999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16992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22" fmlaLink="COD_DESC_CAPACT!$W$13" max="100" page="0" val="50"/>
</file>

<file path=xl/ctrlProps/ctrlProp2.xml><?xml version="1.0" encoding="utf-8"?>
<formControlPr xmlns="http://schemas.microsoft.com/office/spreadsheetml/2009/9/main" objectType="Scroll" dx="22" fmlaLink="COD_DESC_CAPACT!$C$7" max="100" min="5" page="10" val="51"/>
</file>

<file path=xl/ctrlProps/ctrlProp3.xml><?xml version="1.0" encoding="utf-8"?>
<formControlPr xmlns="http://schemas.microsoft.com/office/spreadsheetml/2009/9/main" objectType="CheckBox" fmlaLink="$I$1" lockText="1" noThreeD="1"/>
</file>

<file path=xl/ctrlProps/ctrlProp4.xml><?xml version="1.0" encoding="utf-8"?>
<formControlPr xmlns="http://schemas.microsoft.com/office/spreadsheetml/2009/9/main" objectType="CheckBox" fmlaLink="E1" lockText="1" noThreeD="1"/>
</file>

<file path=xl/ctrlProps/ctrlProp5.xml><?xml version="1.0" encoding="utf-8"?>
<formControlPr xmlns="http://schemas.microsoft.com/office/spreadsheetml/2009/9/main" objectType="CheckBox" fmlaLink="J1" lockText="1" noThreeD="1"/>
</file>

<file path=xl/ctrlProps/ctrlProp6.xml><?xml version="1.0" encoding="utf-8"?>
<formControlPr xmlns="http://schemas.microsoft.com/office/spreadsheetml/2009/9/main" objectType="CheckBox" fmlaLink="K1" lockText="1" noThreeD="1"/>
</file>

<file path=xl/ctrlProps/ctrlProp7.xml><?xml version="1.0" encoding="utf-8"?>
<formControlPr xmlns="http://schemas.microsoft.com/office/spreadsheetml/2009/9/main" objectType="Scroll" dx="22" fmlaLink="A20" horiz="1" inc="100" max="100" page="100" val="0"/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image" Target="../media/image2.png"/><Relationship Id="rId7" Type="http://schemas.openxmlformats.org/officeDocument/2006/relationships/image" Target="../media/image9.png"/><Relationship Id="rId12" Type="http://schemas.openxmlformats.org/officeDocument/2006/relationships/chart" Target="../charts/chart9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8.xml"/><Relationship Id="rId5" Type="http://schemas.openxmlformats.org/officeDocument/2006/relationships/chart" Target="../charts/chart4.xml"/><Relationship Id="rId10" Type="http://schemas.openxmlformats.org/officeDocument/2006/relationships/chart" Target="../charts/chart7.xml"/><Relationship Id="rId4" Type="http://schemas.openxmlformats.org/officeDocument/2006/relationships/chart" Target="../charts/chart3.xml"/><Relationship Id="rId9" Type="http://schemas.openxmlformats.org/officeDocument/2006/relationships/chart" Target="../charts/chart6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13" Type="http://schemas.openxmlformats.org/officeDocument/2006/relationships/chart" Target="../charts/chart24.xml"/><Relationship Id="rId18" Type="http://schemas.openxmlformats.org/officeDocument/2006/relationships/chart" Target="../charts/chart27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12" Type="http://schemas.openxmlformats.org/officeDocument/2006/relationships/chart" Target="../charts/chart23.xml"/><Relationship Id="rId17" Type="http://schemas.openxmlformats.org/officeDocument/2006/relationships/chart" Target="../charts/chart26.xml"/><Relationship Id="rId2" Type="http://schemas.openxmlformats.org/officeDocument/2006/relationships/chart" Target="../charts/chart13.xml"/><Relationship Id="rId16" Type="http://schemas.microsoft.com/office/2007/relationships/hdphoto" Target="../media/hdphoto1.wdp"/><Relationship Id="rId20" Type="http://schemas.openxmlformats.org/officeDocument/2006/relationships/chart" Target="../charts/chart29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11" Type="http://schemas.openxmlformats.org/officeDocument/2006/relationships/chart" Target="../charts/chart22.xml"/><Relationship Id="rId5" Type="http://schemas.openxmlformats.org/officeDocument/2006/relationships/chart" Target="../charts/chart16.xml"/><Relationship Id="rId15" Type="http://schemas.openxmlformats.org/officeDocument/2006/relationships/image" Target="../media/image9.png"/><Relationship Id="rId10" Type="http://schemas.openxmlformats.org/officeDocument/2006/relationships/chart" Target="../charts/chart21.xml"/><Relationship Id="rId19" Type="http://schemas.openxmlformats.org/officeDocument/2006/relationships/chart" Target="../charts/chart28.xml"/><Relationship Id="rId4" Type="http://schemas.openxmlformats.org/officeDocument/2006/relationships/chart" Target="../charts/chart15.xml"/><Relationship Id="rId9" Type="http://schemas.openxmlformats.org/officeDocument/2006/relationships/chart" Target="../charts/chart20.xml"/><Relationship Id="rId14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</xdr:row>
      <xdr:rowOff>209548</xdr:rowOff>
    </xdr:from>
    <xdr:to>
      <xdr:col>12</xdr:col>
      <xdr:colOff>504825</xdr:colOff>
      <xdr:row>18</xdr:row>
      <xdr:rowOff>15121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438150</xdr:colOff>
      <xdr:row>3</xdr:row>
      <xdr:rowOff>123825</xdr:rowOff>
    </xdr:from>
    <xdr:to>
      <xdr:col>10</xdr:col>
      <xdr:colOff>438150</xdr:colOff>
      <xdr:row>9</xdr:row>
      <xdr:rowOff>161925</xdr:rowOff>
    </xdr:to>
    <xdr:cxnSp macro="">
      <xdr:nvCxnSpPr>
        <xdr:cNvPr id="18" name="Conector reto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6829425" y="1009650"/>
          <a:ext cx="0" cy="118110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607537</xdr:colOff>
      <xdr:row>20</xdr:row>
      <xdr:rowOff>160380</xdr:rowOff>
    </xdr:from>
    <xdr:to>
      <xdr:col>16</xdr:col>
      <xdr:colOff>280483</xdr:colOff>
      <xdr:row>27</xdr:row>
      <xdr:rowOff>3952</xdr:rowOff>
    </xdr:to>
    <xdr:sp macro="" textlink="">
      <xdr:nvSpPr>
        <xdr:cNvPr id="7" name="Arc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1537632">
          <a:off x="9437212" y="4284705"/>
          <a:ext cx="892146" cy="1177072"/>
        </a:xfrm>
        <a:prstGeom prst="arc">
          <a:avLst>
            <a:gd name="adj1" fmla="val 15638563"/>
            <a:gd name="adj2" fmla="val 20142462"/>
          </a:avLst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14</xdr:col>
      <xdr:colOff>600075</xdr:colOff>
      <xdr:row>16</xdr:row>
      <xdr:rowOff>171449</xdr:rowOff>
    </xdr:from>
    <xdr:to>
      <xdr:col>14</xdr:col>
      <xdr:colOff>600667</xdr:colOff>
      <xdr:row>24</xdr:row>
      <xdr:rowOff>83179</xdr:rowOff>
    </xdr:to>
    <xdr:cxnSp macro="">
      <xdr:nvCxnSpPr>
        <xdr:cNvPr id="11" name="Conector re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>
          <a:endCxn id="7" idx="2"/>
        </xdr:cNvCxnSpPr>
      </xdr:nvCxnSpPr>
      <xdr:spPr>
        <a:xfrm>
          <a:off x="9429750" y="3533774"/>
          <a:ext cx="592" cy="143573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406512</xdr:colOff>
      <xdr:row>20</xdr:row>
      <xdr:rowOff>16669</xdr:rowOff>
    </xdr:from>
    <xdr:to>
      <xdr:col>17</xdr:col>
      <xdr:colOff>188753</xdr:colOff>
      <xdr:row>25</xdr:row>
      <xdr:rowOff>130504</xdr:rowOff>
    </xdr:to>
    <xdr:sp macro="" textlink="">
      <xdr:nvSpPr>
        <xdr:cNvPr id="49" name="Arco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 rot="11537632">
          <a:off x="9845787" y="4140994"/>
          <a:ext cx="1001441" cy="1066335"/>
        </a:xfrm>
        <a:prstGeom prst="arc">
          <a:avLst>
            <a:gd name="adj1" fmla="val 15723743"/>
            <a:gd name="adj2" fmla="val 20686690"/>
          </a:avLst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404854</xdr:colOff>
      <xdr:row>16</xdr:row>
      <xdr:rowOff>161925</xdr:rowOff>
    </xdr:from>
    <xdr:to>
      <xdr:col>15</xdr:col>
      <xdr:colOff>409575</xdr:colOff>
      <xdr:row>23</xdr:row>
      <xdr:rowOff>25623</xdr:rowOff>
    </xdr:to>
    <xdr:cxnSp macro="">
      <xdr:nvCxnSpPr>
        <xdr:cNvPr id="51" name="Conector reto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CxnSpPr/>
      </xdr:nvCxnSpPr>
      <xdr:spPr>
        <a:xfrm flipH="1">
          <a:off x="9844129" y="3524250"/>
          <a:ext cx="4721" cy="1197198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414150</xdr:colOff>
      <xdr:row>26</xdr:row>
      <xdr:rowOff>188007</xdr:rowOff>
    </xdr:from>
    <xdr:to>
      <xdr:col>18</xdr:col>
      <xdr:colOff>447675</xdr:colOff>
      <xdr:row>27</xdr:row>
      <xdr:rowOff>0</xdr:rowOff>
    </xdr:to>
    <xdr:cxnSp macro="">
      <xdr:nvCxnSpPr>
        <xdr:cNvPr id="4097" name="Conector reto 4096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CxnSpPr>
          <a:stCxn id="7" idx="0"/>
        </xdr:cNvCxnSpPr>
      </xdr:nvCxnSpPr>
      <xdr:spPr>
        <a:xfrm>
          <a:off x="9853425" y="5455332"/>
          <a:ext cx="1862325" cy="2493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257186</xdr:colOff>
      <xdr:row>25</xdr:row>
      <xdr:rowOff>123825</xdr:rowOff>
    </xdr:from>
    <xdr:to>
      <xdr:col>18</xdr:col>
      <xdr:colOff>514350</xdr:colOff>
      <xdr:row>25</xdr:row>
      <xdr:rowOff>128286</xdr:rowOff>
    </xdr:to>
    <xdr:cxnSp macro="">
      <xdr:nvCxnSpPr>
        <xdr:cNvPr id="4100" name="Conector reto 4099">
          <a:extLst>
            <a:ext uri="{FF2B5EF4-FFF2-40B4-BE49-F238E27FC236}">
              <a16:creationId xmlns:a16="http://schemas.microsoft.com/office/drawing/2014/main" id="{00000000-0008-0000-0000-000004100000}"/>
            </a:ext>
          </a:extLst>
        </xdr:cNvPr>
        <xdr:cNvCxnSpPr>
          <a:stCxn id="49" idx="0"/>
        </xdr:cNvCxnSpPr>
      </xdr:nvCxnSpPr>
      <xdr:spPr>
        <a:xfrm flipV="1">
          <a:off x="10306061" y="5200650"/>
          <a:ext cx="1476364" cy="4461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10</xdr:row>
      <xdr:rowOff>152400</xdr:rowOff>
    </xdr:from>
    <xdr:to>
      <xdr:col>11</xdr:col>
      <xdr:colOff>0</xdr:colOff>
      <xdr:row>16</xdr:row>
      <xdr:rowOff>142875</xdr:rowOff>
    </xdr:to>
    <xdr:cxnSp macro="">
      <xdr:nvCxnSpPr>
        <xdr:cNvPr id="20" name="Conector reto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7000875" y="2371725"/>
          <a:ext cx="0" cy="1133475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457201</xdr:colOff>
      <xdr:row>9</xdr:row>
      <xdr:rowOff>9525</xdr:rowOff>
    </xdr:from>
    <xdr:to>
      <xdr:col>18</xdr:col>
      <xdr:colOff>590551</xdr:colOff>
      <xdr:row>11</xdr:row>
      <xdr:rowOff>171451</xdr:rowOff>
    </xdr:to>
    <xdr:sp macro="" textlink="COD_DESC_CAPACT!Q55">
      <xdr:nvSpPr>
        <xdr:cNvPr id="4138" name="Retângulo: Cantos Arredondados 4137">
          <a:extLst>
            <a:ext uri="{FF2B5EF4-FFF2-40B4-BE49-F238E27FC236}">
              <a16:creationId xmlns:a16="http://schemas.microsoft.com/office/drawing/2014/main" id="{00000000-0008-0000-0000-00002A100000}"/>
            </a:ext>
          </a:extLst>
        </xdr:cNvPr>
        <xdr:cNvSpPr/>
      </xdr:nvSpPr>
      <xdr:spPr>
        <a:xfrm>
          <a:off x="10506076" y="2038350"/>
          <a:ext cx="1352550" cy="542926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179B24E4-270A-42F0-8AFD-32D58124F40E}" type="TxLink">
            <a:rPr lang="en-US" sz="2400" b="0" i="0" u="none" strike="noStrike">
              <a:solidFill>
                <a:srgbClr val="000000"/>
              </a:solidFill>
              <a:latin typeface="Bahnschrift" panose="020B0502040204020203" pitchFamily="34" charset="0"/>
              <a:cs typeface="Calibri"/>
            </a:rPr>
            <a:pPr algn="r"/>
            <a:t> </a:t>
          </a:fld>
          <a:endParaRPr lang="pt-BR" sz="2400" b="0">
            <a:latin typeface="Bahnschrift" panose="020B0502040204020203" pitchFamily="34" charset="0"/>
          </a:endParaRPr>
        </a:p>
      </xdr:txBody>
    </xdr:sp>
    <xdr:clientData/>
  </xdr:twoCellAnchor>
  <xdr:twoCellAnchor>
    <xdr:from>
      <xdr:col>16</xdr:col>
      <xdr:colOff>571500</xdr:colOff>
      <xdr:row>13</xdr:row>
      <xdr:rowOff>133350</xdr:rowOff>
    </xdr:from>
    <xdr:to>
      <xdr:col>18</xdr:col>
      <xdr:colOff>457200</xdr:colOff>
      <xdr:row>19</xdr:row>
      <xdr:rowOff>85725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295275</xdr:colOff>
      <xdr:row>8</xdr:row>
      <xdr:rowOff>76200</xdr:rowOff>
    </xdr:from>
    <xdr:to>
      <xdr:col>19</xdr:col>
      <xdr:colOff>171450</xdr:colOff>
      <xdr:row>24</xdr:row>
      <xdr:rowOff>58650</xdr:rowOff>
    </xdr:to>
    <xdr:grpSp>
      <xdr:nvGrpSpPr>
        <xdr:cNvPr id="57" name="Agrupar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GrpSpPr/>
      </xdr:nvGrpSpPr>
      <xdr:grpSpPr>
        <a:xfrm>
          <a:off x="10344150" y="1819275"/>
          <a:ext cx="1704975" cy="3030450"/>
          <a:chOff x="10239375" y="742950"/>
          <a:chExt cx="1704975" cy="3030450"/>
        </a:xfrm>
      </xdr:grpSpPr>
      <xdr:grpSp>
        <xdr:nvGrpSpPr>
          <xdr:cNvPr id="53" name="Agrupar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GrpSpPr/>
        </xdr:nvGrpSpPr>
        <xdr:grpSpPr>
          <a:xfrm>
            <a:off x="10239375" y="742950"/>
            <a:ext cx="1704975" cy="3030450"/>
            <a:chOff x="10253432" y="742950"/>
            <a:chExt cx="1708345" cy="3030450"/>
          </a:xfrm>
        </xdr:grpSpPr>
        <xdr:pic>
          <xdr:nvPicPr>
            <xdr:cNvPr id="4119" name="Imagem 4118">
              <a:extLst>
                <a:ext uri="{FF2B5EF4-FFF2-40B4-BE49-F238E27FC236}">
                  <a16:creationId xmlns:a16="http://schemas.microsoft.com/office/drawing/2014/main" id="{00000000-0008-0000-0000-0000171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253432" y="742950"/>
              <a:ext cx="1708345" cy="3030450"/>
            </a:xfrm>
            <a:prstGeom prst="rect">
              <a:avLst/>
            </a:prstGeom>
          </xdr:spPr>
        </xdr:pic>
        <xdr:sp macro="[0]!AtP_1" textlink="">
          <xdr:nvSpPr>
            <xdr:cNvPr id="4120" name="Elipse 4119">
              <a:extLst>
                <a:ext uri="{FF2B5EF4-FFF2-40B4-BE49-F238E27FC236}">
                  <a16:creationId xmlns:a16="http://schemas.microsoft.com/office/drawing/2014/main" id="{00000000-0008-0000-0000-000018100000}"/>
                </a:ext>
              </a:extLst>
            </xdr:cNvPr>
            <xdr:cNvSpPr/>
          </xdr:nvSpPr>
          <xdr:spPr>
            <a:xfrm rot="19385688" flipH="1">
              <a:off x="11076746" y="1683887"/>
              <a:ext cx="34300" cy="34017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20" textlink="">
          <xdr:nvSpPr>
            <xdr:cNvPr id="4121" name="Elipse 4120">
              <a:extLst>
                <a:ext uri="{FF2B5EF4-FFF2-40B4-BE49-F238E27FC236}">
                  <a16:creationId xmlns:a16="http://schemas.microsoft.com/office/drawing/2014/main" id="{00000000-0008-0000-0000-000019100000}"/>
                </a:ext>
              </a:extLst>
            </xdr:cNvPr>
            <xdr:cNvSpPr/>
          </xdr:nvSpPr>
          <xdr:spPr>
            <a:xfrm rot="19385688" flipH="1">
              <a:off x="10885065" y="1723575"/>
              <a:ext cx="3430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2" textlink="">
          <xdr:nvSpPr>
            <xdr:cNvPr id="4122" name="Elipse 4121">
              <a:extLst>
                <a:ext uri="{FF2B5EF4-FFF2-40B4-BE49-F238E27FC236}">
                  <a16:creationId xmlns:a16="http://schemas.microsoft.com/office/drawing/2014/main" id="{00000000-0008-0000-0000-00001A100000}"/>
                </a:ext>
              </a:extLst>
            </xdr:cNvPr>
            <xdr:cNvSpPr/>
          </xdr:nvSpPr>
          <xdr:spPr>
            <a:xfrm flipH="1">
              <a:off x="11267062" y="1719119"/>
              <a:ext cx="3282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3" textlink="">
          <xdr:nvSpPr>
            <xdr:cNvPr id="4123" name="Elipse 4122">
              <a:extLst>
                <a:ext uri="{FF2B5EF4-FFF2-40B4-BE49-F238E27FC236}">
                  <a16:creationId xmlns:a16="http://schemas.microsoft.com/office/drawing/2014/main" id="{00000000-0008-0000-0000-00001B100000}"/>
                </a:ext>
              </a:extLst>
            </xdr:cNvPr>
            <xdr:cNvSpPr/>
          </xdr:nvSpPr>
          <xdr:spPr>
            <a:xfrm flipH="1">
              <a:off x="11434515" y="1807920"/>
              <a:ext cx="3430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4" textlink="">
          <xdr:nvSpPr>
            <xdr:cNvPr id="4124" name="Elipse 4123">
              <a:extLst>
                <a:ext uri="{FF2B5EF4-FFF2-40B4-BE49-F238E27FC236}">
                  <a16:creationId xmlns:a16="http://schemas.microsoft.com/office/drawing/2014/main" id="{00000000-0008-0000-0000-00001C100000}"/>
                </a:ext>
              </a:extLst>
            </xdr:cNvPr>
            <xdr:cNvSpPr/>
          </xdr:nvSpPr>
          <xdr:spPr>
            <a:xfrm flipH="1">
              <a:off x="11566383" y="1934287"/>
              <a:ext cx="34299" cy="34219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19" textlink="">
          <xdr:nvSpPr>
            <xdr:cNvPr id="4125" name="Elipse 4124">
              <a:extLst>
                <a:ext uri="{FF2B5EF4-FFF2-40B4-BE49-F238E27FC236}">
                  <a16:creationId xmlns:a16="http://schemas.microsoft.com/office/drawing/2014/main" id="{00000000-0008-0000-0000-00001D100000}"/>
                </a:ext>
              </a:extLst>
            </xdr:cNvPr>
            <xdr:cNvSpPr/>
          </xdr:nvSpPr>
          <xdr:spPr>
            <a:xfrm rot="19385688" flipH="1">
              <a:off x="10725747" y="1813520"/>
              <a:ext cx="3430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18" textlink="">
          <xdr:nvSpPr>
            <xdr:cNvPr id="4126" name="Elipse 4125">
              <a:extLst>
                <a:ext uri="{FF2B5EF4-FFF2-40B4-BE49-F238E27FC236}">
                  <a16:creationId xmlns:a16="http://schemas.microsoft.com/office/drawing/2014/main" id="{00000000-0008-0000-0000-00001E100000}"/>
                </a:ext>
              </a:extLst>
            </xdr:cNvPr>
            <xdr:cNvSpPr/>
          </xdr:nvSpPr>
          <xdr:spPr>
            <a:xfrm flipH="1">
              <a:off x="10585079" y="1937589"/>
              <a:ext cx="3430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17" textlink="">
          <xdr:nvSpPr>
            <xdr:cNvPr id="4127" name="Elipse 4126">
              <a:extLst>
                <a:ext uri="{FF2B5EF4-FFF2-40B4-BE49-F238E27FC236}">
                  <a16:creationId xmlns:a16="http://schemas.microsoft.com/office/drawing/2014/main" id="{00000000-0008-0000-0000-00001F100000}"/>
                </a:ext>
              </a:extLst>
            </xdr:cNvPr>
            <xdr:cNvSpPr/>
          </xdr:nvSpPr>
          <xdr:spPr>
            <a:xfrm>
              <a:off x="10492783" y="2101108"/>
              <a:ext cx="3430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6" textlink="">
          <xdr:nvSpPr>
            <xdr:cNvPr id="4128" name="Elipse 4127">
              <a:extLst>
                <a:ext uri="{FF2B5EF4-FFF2-40B4-BE49-F238E27FC236}">
                  <a16:creationId xmlns:a16="http://schemas.microsoft.com/office/drawing/2014/main" id="{00000000-0008-0000-0000-000020100000}"/>
                </a:ext>
              </a:extLst>
            </xdr:cNvPr>
            <xdr:cNvSpPr/>
          </xdr:nvSpPr>
          <xdr:spPr>
            <a:xfrm flipH="1">
              <a:off x="11688091" y="2275331"/>
              <a:ext cx="34299" cy="34017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7" textlink="">
          <xdr:nvSpPr>
            <xdr:cNvPr id="4129" name="Elipse 4128">
              <a:extLst>
                <a:ext uri="{FF2B5EF4-FFF2-40B4-BE49-F238E27FC236}">
                  <a16:creationId xmlns:a16="http://schemas.microsoft.com/office/drawing/2014/main" id="{00000000-0008-0000-0000-000021100000}"/>
                </a:ext>
              </a:extLst>
            </xdr:cNvPr>
            <xdr:cNvSpPr/>
          </xdr:nvSpPr>
          <xdr:spPr>
            <a:xfrm flipH="1">
              <a:off x="11567603" y="2615265"/>
              <a:ext cx="3430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16" textlink="">
          <xdr:nvSpPr>
            <xdr:cNvPr id="4130" name="Elipse 4129">
              <a:extLst>
                <a:ext uri="{FF2B5EF4-FFF2-40B4-BE49-F238E27FC236}">
                  <a16:creationId xmlns:a16="http://schemas.microsoft.com/office/drawing/2014/main" id="{00000000-0008-0000-0000-000022100000}"/>
                </a:ext>
              </a:extLst>
            </xdr:cNvPr>
            <xdr:cNvSpPr/>
          </xdr:nvSpPr>
          <xdr:spPr>
            <a:xfrm rot="19385688" flipH="1">
              <a:off x="10466902" y="2276645"/>
              <a:ext cx="31918" cy="34017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14" textlink="">
          <xdr:nvSpPr>
            <xdr:cNvPr id="4131" name="Elipse 4130">
              <a:extLst>
                <a:ext uri="{FF2B5EF4-FFF2-40B4-BE49-F238E27FC236}">
                  <a16:creationId xmlns:a16="http://schemas.microsoft.com/office/drawing/2014/main" id="{00000000-0008-0000-0000-000023100000}"/>
                </a:ext>
              </a:extLst>
            </xdr:cNvPr>
            <xdr:cNvSpPr/>
          </xdr:nvSpPr>
          <xdr:spPr>
            <a:xfrm flipH="1">
              <a:off x="10585320" y="2632599"/>
              <a:ext cx="3430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13" textlink="">
          <xdr:nvSpPr>
            <xdr:cNvPr id="4132" name="Elipse 4131">
              <a:extLst>
                <a:ext uri="{FF2B5EF4-FFF2-40B4-BE49-F238E27FC236}">
                  <a16:creationId xmlns:a16="http://schemas.microsoft.com/office/drawing/2014/main" id="{00000000-0008-0000-0000-000024100000}"/>
                </a:ext>
              </a:extLst>
            </xdr:cNvPr>
            <xdr:cNvSpPr/>
          </xdr:nvSpPr>
          <xdr:spPr>
            <a:xfrm flipH="1">
              <a:off x="10715644" y="2749568"/>
              <a:ext cx="3430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12" textlink="">
          <xdr:nvSpPr>
            <xdr:cNvPr id="4133" name="Elipse 4132">
              <a:extLst>
                <a:ext uri="{FF2B5EF4-FFF2-40B4-BE49-F238E27FC236}">
                  <a16:creationId xmlns:a16="http://schemas.microsoft.com/office/drawing/2014/main" id="{00000000-0008-0000-0000-000025100000}"/>
                </a:ext>
              </a:extLst>
            </xdr:cNvPr>
            <xdr:cNvSpPr/>
          </xdr:nvSpPr>
          <xdr:spPr>
            <a:xfrm flipH="1">
              <a:off x="10888038" y="2841228"/>
              <a:ext cx="34300" cy="34017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11" textlink="">
          <xdr:nvSpPr>
            <xdr:cNvPr id="4134" name="Elipse 4133">
              <a:extLst>
                <a:ext uri="{FF2B5EF4-FFF2-40B4-BE49-F238E27FC236}">
                  <a16:creationId xmlns:a16="http://schemas.microsoft.com/office/drawing/2014/main" id="{00000000-0008-0000-0000-000026100000}"/>
                </a:ext>
              </a:extLst>
            </xdr:cNvPr>
            <xdr:cNvSpPr/>
          </xdr:nvSpPr>
          <xdr:spPr>
            <a:xfrm flipH="1">
              <a:off x="11078342" y="2875453"/>
              <a:ext cx="3430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8" textlink="">
          <xdr:nvSpPr>
            <xdr:cNvPr id="4135" name="Elipse 4134">
              <a:extLst>
                <a:ext uri="{FF2B5EF4-FFF2-40B4-BE49-F238E27FC236}">
                  <a16:creationId xmlns:a16="http://schemas.microsoft.com/office/drawing/2014/main" id="{00000000-0008-0000-0000-000027100000}"/>
                </a:ext>
              </a:extLst>
            </xdr:cNvPr>
            <xdr:cNvSpPr/>
          </xdr:nvSpPr>
          <xdr:spPr>
            <a:xfrm rot="20783031" flipH="1">
              <a:off x="11431865" y="2749180"/>
              <a:ext cx="34300" cy="34218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10" textlink="">
          <xdr:nvSpPr>
            <xdr:cNvPr id="4136" name="Elipse 4135">
              <a:extLst>
                <a:ext uri="{FF2B5EF4-FFF2-40B4-BE49-F238E27FC236}">
                  <a16:creationId xmlns:a16="http://schemas.microsoft.com/office/drawing/2014/main" id="{00000000-0008-0000-0000-000028100000}"/>
                </a:ext>
              </a:extLst>
            </xdr:cNvPr>
            <xdr:cNvSpPr/>
          </xdr:nvSpPr>
          <xdr:spPr>
            <a:xfrm flipH="1">
              <a:off x="11258813" y="2839585"/>
              <a:ext cx="32820" cy="34017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[0]!AtP_5" textlink="">
          <xdr:nvSpPr>
            <xdr:cNvPr id="4137" name="Elipse 4136">
              <a:extLst>
                <a:ext uri="{FF2B5EF4-FFF2-40B4-BE49-F238E27FC236}">
                  <a16:creationId xmlns:a16="http://schemas.microsoft.com/office/drawing/2014/main" id="{00000000-0008-0000-0000-000029100000}"/>
                </a:ext>
              </a:extLst>
            </xdr:cNvPr>
            <xdr:cNvSpPr/>
          </xdr:nvSpPr>
          <xdr:spPr>
            <a:xfrm flipH="1">
              <a:off x="11656602" y="2097927"/>
              <a:ext cx="35992" cy="35804"/>
            </a:xfrm>
            <a:prstGeom prst="ellipse">
              <a:avLst/>
            </a:prstGeom>
            <a:solidFill>
              <a:schemeClr val="bg2">
                <a:lumMod val="7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</xdr:grpSp>
      <xdr:sp macro="[0]!AtP_7" textlink="">
        <xdr:nvSpPr>
          <xdr:cNvPr id="45" name="Elips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>
          <a:xfrm flipH="1">
            <a:off x="11637869" y="2454088"/>
            <a:ext cx="34299" cy="34017"/>
          </a:xfrm>
          <a:prstGeom prst="ellipse">
            <a:avLst/>
          </a:prstGeom>
          <a:solidFill>
            <a:schemeClr val="bg2">
              <a:lumMod val="75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[0]!AtP_15" textlink="">
        <xdr:nvSpPr>
          <xdr:cNvPr id="48" name="Elipse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/>
        </xdr:nvSpPr>
        <xdr:spPr>
          <a:xfrm flipH="1">
            <a:off x="10487026" y="2460811"/>
            <a:ext cx="34299" cy="34017"/>
          </a:xfrm>
          <a:prstGeom prst="ellipse">
            <a:avLst/>
          </a:prstGeom>
          <a:solidFill>
            <a:schemeClr val="bg2">
              <a:lumMod val="75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0</xdr:col>
      <xdr:colOff>0</xdr:colOff>
      <xdr:row>0</xdr:row>
      <xdr:rowOff>19050</xdr:rowOff>
    </xdr:from>
    <xdr:to>
      <xdr:col>6</xdr:col>
      <xdr:colOff>114300</xdr:colOff>
      <xdr:row>1</xdr:row>
      <xdr:rowOff>304800</xdr:rowOff>
    </xdr:to>
    <xdr:sp macro="" textlink="">
      <xdr:nvSpPr>
        <xdr:cNvPr id="61" name="Retângulo: Cantos Arredondados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0" y="19050"/>
          <a:ext cx="3943350" cy="476250"/>
        </a:xfrm>
        <a:prstGeom prst="roundRect">
          <a:avLst>
            <a:gd name="adj" fmla="val 0"/>
          </a:avLst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2100" b="1" i="0" u="sng">
              <a:solidFill>
                <a:srgbClr val="002060"/>
              </a:solidFill>
            </a:rPr>
            <a:t>LV</a:t>
          </a:r>
          <a:r>
            <a:rPr lang="pt-BR" sz="2100" b="1" i="0" u="sng" baseline="0">
              <a:solidFill>
                <a:srgbClr val="002060"/>
              </a:solidFill>
            </a:rPr>
            <a:t> de</a:t>
          </a:r>
          <a:r>
            <a:rPr lang="pt-BR" sz="2100" b="1" i="0" u="sng">
              <a:solidFill>
                <a:srgbClr val="002060"/>
              </a:solidFill>
            </a:rPr>
            <a:t> descarga</a:t>
          </a:r>
          <a:r>
            <a:rPr lang="pt-BR" sz="2100" b="1" i="0" u="sng" baseline="0">
              <a:solidFill>
                <a:srgbClr val="002060"/>
              </a:solidFill>
            </a:rPr>
            <a:t> de capacitor</a:t>
          </a:r>
          <a:endParaRPr lang="pt-BR" sz="2100" b="1" i="0" u="sng">
            <a:solidFill>
              <a:srgbClr val="002060"/>
            </a:solidFill>
          </a:endParaRPr>
        </a:p>
      </xdr:txBody>
    </xdr:sp>
    <xdr:clientData/>
  </xdr:twoCellAnchor>
  <xdr:twoCellAnchor>
    <xdr:from>
      <xdr:col>1</xdr:col>
      <xdr:colOff>352425</xdr:colOff>
      <xdr:row>3</xdr:row>
      <xdr:rowOff>114396</xdr:rowOff>
    </xdr:from>
    <xdr:to>
      <xdr:col>2</xdr:col>
      <xdr:colOff>552450</xdr:colOff>
      <xdr:row>16</xdr:row>
      <xdr:rowOff>141006</xdr:rowOff>
    </xdr:to>
    <xdr:grpSp>
      <xdr:nvGrpSpPr>
        <xdr:cNvPr id="4102" name="Agrupar 4101">
          <a:extLst>
            <a:ext uri="{FF2B5EF4-FFF2-40B4-BE49-F238E27FC236}">
              <a16:creationId xmlns:a16="http://schemas.microsoft.com/office/drawing/2014/main" id="{00000000-0008-0000-0000-000006100000}"/>
            </a:ext>
          </a:extLst>
        </xdr:cNvPr>
        <xdr:cNvGrpSpPr/>
      </xdr:nvGrpSpPr>
      <xdr:grpSpPr>
        <a:xfrm>
          <a:off x="952500" y="904971"/>
          <a:ext cx="952500" cy="2503110"/>
          <a:chOff x="790575" y="1705071"/>
          <a:chExt cx="952500" cy="2503110"/>
        </a:xfrm>
      </xdr:grpSpPr>
      <xdr:cxnSp macro="">
        <xdr:nvCxnSpPr>
          <xdr:cNvPr id="43" name="Conector reto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CxnSpPr/>
        </xdr:nvCxnSpPr>
        <xdr:spPr>
          <a:xfrm flipV="1">
            <a:off x="1181100" y="3506565"/>
            <a:ext cx="0" cy="701616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1" name="Conector reto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CxnSpPr/>
        </xdr:nvCxnSpPr>
        <xdr:spPr>
          <a:xfrm flipV="1">
            <a:off x="1190625" y="1705071"/>
            <a:ext cx="0" cy="725811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graphicFrame macro="">
        <xdr:nvGraphicFramePr>
          <xdr:cNvPr id="28" name="Gráfico 27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GraphicFramePr>
            <a:graphicFrameLocks/>
          </xdr:cNvGraphicFramePr>
        </xdr:nvGraphicFramePr>
        <xdr:xfrm>
          <a:off x="790575" y="2253750"/>
          <a:ext cx="800100" cy="143113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cxnSp macro="">
        <xdr:nvCxnSpPr>
          <xdr:cNvPr id="44" name="Conector reto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CxnSpPr/>
        </xdr:nvCxnSpPr>
        <xdr:spPr>
          <a:xfrm flipH="1">
            <a:off x="1181100" y="4183269"/>
            <a:ext cx="561975" cy="0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50" name="Conector reto 49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CxnSpPr/>
        </xdr:nvCxnSpPr>
        <xdr:spPr>
          <a:xfrm flipH="1">
            <a:off x="1181100" y="1732506"/>
            <a:ext cx="561975" cy="0"/>
          </a:xfrm>
          <a:prstGeom prst="line">
            <a:avLst/>
          </a:prstGeom>
          <a:ln w="5715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9525</xdr:colOff>
      <xdr:row>21</xdr:row>
      <xdr:rowOff>76200</xdr:rowOff>
    </xdr:from>
    <xdr:to>
      <xdr:col>19</xdr:col>
      <xdr:colOff>390525</xdr:colOff>
      <xdr:row>25</xdr:row>
      <xdr:rowOff>123825</xdr:rowOff>
    </xdr:to>
    <xdr:sp macro="" textlink="">
      <xdr:nvSpPr>
        <xdr:cNvPr id="4109" name="Arco 4108">
          <a:extLst>
            <a:ext uri="{FF2B5EF4-FFF2-40B4-BE49-F238E27FC236}">
              <a16:creationId xmlns:a16="http://schemas.microsoft.com/office/drawing/2014/main" id="{00000000-0008-0000-0000-00000D100000}"/>
            </a:ext>
          </a:extLst>
        </xdr:cNvPr>
        <xdr:cNvSpPr/>
      </xdr:nvSpPr>
      <xdr:spPr>
        <a:xfrm>
          <a:off x="11277600" y="4391025"/>
          <a:ext cx="990600" cy="809625"/>
        </a:xfrm>
        <a:prstGeom prst="arc">
          <a:avLst>
            <a:gd name="adj1" fmla="val 16200000"/>
            <a:gd name="adj2" fmla="val 5400000"/>
          </a:avLst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18</xdr:col>
      <xdr:colOff>443753</xdr:colOff>
      <xdr:row>20</xdr:row>
      <xdr:rowOff>183216</xdr:rowOff>
    </xdr:from>
    <xdr:to>
      <xdr:col>18</xdr:col>
      <xdr:colOff>587753</xdr:colOff>
      <xdr:row>21</xdr:row>
      <xdr:rowOff>146241</xdr:rowOff>
    </xdr:to>
    <xdr:grpSp>
      <xdr:nvGrpSpPr>
        <xdr:cNvPr id="4149" name="Agrupar 4148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/>
      </xdr:nvGrpSpPr>
      <xdr:grpSpPr>
        <a:xfrm>
          <a:off x="11711828" y="4212291"/>
          <a:ext cx="144000" cy="153525"/>
          <a:chOff x="9363075" y="5334000"/>
          <a:chExt cx="144000" cy="153525"/>
        </a:xfrm>
      </xdr:grpSpPr>
      <xdr:sp macro="" textlink="">
        <xdr:nvSpPr>
          <xdr:cNvPr id="4150" name="Retângulo 4149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/>
        </xdr:nvSpPr>
        <xdr:spPr>
          <a:xfrm>
            <a:off x="9363075" y="5334000"/>
            <a:ext cx="144000" cy="153525"/>
          </a:xfrm>
          <a:prstGeom prst="rect">
            <a:avLst/>
          </a:prstGeom>
          <a:solidFill>
            <a:srgbClr val="FF0000"/>
          </a:solidFill>
          <a:ln>
            <a:solidFill>
              <a:schemeClr val="tx1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151" name="Elipse 4150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/>
        </xdr:nvSpPr>
        <xdr:spPr>
          <a:xfrm>
            <a:off x="9401175" y="5372100"/>
            <a:ext cx="72000" cy="72000"/>
          </a:xfrm>
          <a:prstGeom prst="ellipse">
            <a:avLst/>
          </a:prstGeom>
          <a:solidFill>
            <a:srgbClr val="C00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17</xdr:col>
      <xdr:colOff>504825</xdr:colOff>
      <xdr:row>23</xdr:row>
      <xdr:rowOff>0</xdr:rowOff>
    </xdr:from>
    <xdr:to>
      <xdr:col>19</xdr:col>
      <xdr:colOff>390525</xdr:colOff>
      <xdr:row>27</xdr:row>
      <xdr:rowOff>1</xdr:rowOff>
    </xdr:to>
    <xdr:sp macro="" textlink="">
      <xdr:nvSpPr>
        <xdr:cNvPr id="4113" name="Arco 4112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SpPr/>
      </xdr:nvSpPr>
      <xdr:spPr>
        <a:xfrm>
          <a:off x="11163300" y="4695825"/>
          <a:ext cx="1104900" cy="762001"/>
        </a:xfrm>
        <a:prstGeom prst="arc">
          <a:avLst>
            <a:gd name="adj1" fmla="val 17056817"/>
            <a:gd name="adj2" fmla="val 5400000"/>
          </a:avLst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18</xdr:col>
      <xdr:colOff>443753</xdr:colOff>
      <xdr:row>22</xdr:row>
      <xdr:rowOff>107017</xdr:rowOff>
    </xdr:from>
    <xdr:to>
      <xdr:col>18</xdr:col>
      <xdr:colOff>587753</xdr:colOff>
      <xdr:row>23</xdr:row>
      <xdr:rowOff>60517</xdr:rowOff>
    </xdr:to>
    <xdr:grpSp>
      <xdr:nvGrpSpPr>
        <xdr:cNvPr id="4152" name="Agrupar 4151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/>
      </xdr:nvGrpSpPr>
      <xdr:grpSpPr>
        <a:xfrm>
          <a:off x="11711828" y="4517092"/>
          <a:ext cx="144000" cy="144000"/>
          <a:chOff x="2047875" y="5162550"/>
          <a:chExt cx="144000" cy="144000"/>
        </a:xfrm>
      </xdr:grpSpPr>
      <xdr:sp macro="" textlink="">
        <xdr:nvSpPr>
          <xdr:cNvPr id="4153" name="Retângulo 4152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/>
        </xdr:nvSpPr>
        <xdr:spPr>
          <a:xfrm>
            <a:off x="2047875" y="5162550"/>
            <a:ext cx="144000" cy="14400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154" name="Elipse 4153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/>
        </xdr:nvSpPr>
        <xdr:spPr>
          <a:xfrm>
            <a:off x="2085975" y="5202331"/>
            <a:ext cx="72000" cy="72000"/>
          </a:xfrm>
          <a:prstGeom prst="ellipse">
            <a:avLst/>
          </a:prstGeom>
          <a:solidFill>
            <a:schemeClr val="tx1">
              <a:lumMod val="85000"/>
              <a:lumOff val="15000"/>
            </a:schemeClr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0</xdr:col>
      <xdr:colOff>180975</xdr:colOff>
      <xdr:row>4</xdr:row>
      <xdr:rowOff>133350</xdr:rowOff>
    </xdr:from>
    <xdr:to>
      <xdr:col>1</xdr:col>
      <xdr:colOff>305231</xdr:colOff>
      <xdr:row>15</xdr:row>
      <xdr:rowOff>132227</xdr:rowOff>
    </xdr:to>
    <xdr:grpSp>
      <xdr:nvGrpSpPr>
        <xdr:cNvPr id="9" name="Agrupa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180975" y="1114425"/>
          <a:ext cx="724331" cy="2094377"/>
          <a:chOff x="171450" y="3096748"/>
          <a:chExt cx="719849" cy="2133598"/>
        </a:xfrm>
      </xdr:grpSpPr>
      <xdr:grpSp>
        <xdr:nvGrpSpPr>
          <xdr:cNvPr id="16" name="Agrupar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GrpSpPr/>
        </xdr:nvGrpSpPr>
        <xdr:grpSpPr>
          <a:xfrm>
            <a:off x="221009" y="3096748"/>
            <a:ext cx="670290" cy="2118880"/>
            <a:chOff x="314324" y="939017"/>
            <a:chExt cx="668049" cy="2115045"/>
          </a:xfrm>
          <a:solidFill>
            <a:schemeClr val="accent2">
              <a:lumMod val="40000"/>
              <a:lumOff val="60000"/>
            </a:schemeClr>
          </a:solidFill>
        </xdr:grpSpPr>
        <xdr:sp macro="" textlink="">
          <xdr:nvSpPr>
            <xdr:cNvPr id="22" name="Retângulo: Cantos Arredondados 21">
              <a:extLst>
                <a:ext uri="{FF2B5EF4-FFF2-40B4-BE49-F238E27FC236}">
                  <a16:creationId xmlns:a16="http://schemas.microsoft.com/office/drawing/2014/main" id="{00000000-0008-0000-0000-000016000000}"/>
                </a:ext>
              </a:extLst>
            </xdr:cNvPr>
            <xdr:cNvSpPr/>
          </xdr:nvSpPr>
          <xdr:spPr>
            <a:xfrm flipH="1">
              <a:off x="314324" y="939017"/>
              <a:ext cx="668049" cy="2115045"/>
            </a:xfrm>
            <a:prstGeom prst="roundRect">
              <a:avLst>
                <a:gd name="adj" fmla="val 5230"/>
              </a:avLst>
            </a:prstGeom>
            <a:grpFill/>
            <a:ln w="28575">
              <a:solidFill>
                <a:schemeClr val="accent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105" name="Scroll Bar 9" hidden="1">
                  <a:extLst>
                    <a:ext uri="{63B3BB69-23CF-44E3-9099-C40C66FF867C}">
                      <a14:compatExt spid="_x0000_s4105"/>
                    </a:ext>
                    <a:ext uri="{FF2B5EF4-FFF2-40B4-BE49-F238E27FC236}">
                      <a16:creationId xmlns:a16="http://schemas.microsoft.com/office/drawing/2014/main" id="{00000000-0008-0000-0000-000009100000}"/>
                    </a:ext>
                  </a:extLst>
                </xdr:cNvPr>
                <xdr:cNvSpPr/>
              </xdr:nvSpPr>
              <xdr:spPr bwMode="auto">
                <a:xfrm>
                  <a:off x="737202" y="1276022"/>
                  <a:ext cx="192536" cy="1742664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  <xdr:grpSp>
          <xdr:nvGrpSpPr>
            <xdr:cNvPr id="23" name="Agrupar 22">
              <a:extLst>
                <a:ext uri="{FF2B5EF4-FFF2-40B4-BE49-F238E27FC236}">
                  <a16:creationId xmlns:a16="http://schemas.microsoft.com/office/drawing/2014/main" id="{00000000-0008-0000-0000-000017000000}"/>
                </a:ext>
              </a:extLst>
            </xdr:cNvPr>
            <xdr:cNvGrpSpPr/>
          </xdr:nvGrpSpPr>
          <xdr:grpSpPr>
            <a:xfrm>
              <a:off x="371577" y="1498905"/>
              <a:ext cx="285273" cy="1297981"/>
              <a:chOff x="8173243" y="708142"/>
              <a:chExt cx="286876" cy="1068094"/>
            </a:xfrm>
            <a:grpFill/>
          </xdr:grpSpPr>
          <xdr:sp macro="" textlink="">
            <xdr:nvSpPr>
              <xdr:cNvPr id="24" name="Colchete Esquerdo 23">
                <a:extLst>
                  <a:ext uri="{FF2B5EF4-FFF2-40B4-BE49-F238E27FC236}">
                    <a16:creationId xmlns:a16="http://schemas.microsoft.com/office/drawing/2014/main" id="{00000000-0008-0000-0000-000018000000}"/>
                  </a:ext>
                </a:extLst>
              </xdr:cNvPr>
              <xdr:cNvSpPr/>
            </xdr:nvSpPr>
            <xdr:spPr>
              <a:xfrm>
                <a:off x="8316119" y="708142"/>
                <a:ext cx="144000" cy="1068094"/>
              </a:xfrm>
              <a:prstGeom prst="leftBracket">
                <a:avLst>
                  <a:gd name="adj" fmla="val 0"/>
                </a:avLst>
              </a:prstGeom>
              <a:grpFill/>
              <a:ln w="28575">
                <a:solidFill>
                  <a:schemeClr val="accent2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t-BR" sz="1100"/>
              </a:p>
            </xdr:txBody>
          </xdr:sp>
          <xdr:sp macro="" textlink="">
            <xdr:nvSpPr>
              <xdr:cNvPr id="25" name="Colchete Esquerdo 24">
                <a:extLst>
                  <a:ext uri="{FF2B5EF4-FFF2-40B4-BE49-F238E27FC236}">
                    <a16:creationId xmlns:a16="http://schemas.microsoft.com/office/drawing/2014/main" id="{00000000-0008-0000-0000-000019000000}"/>
                  </a:ext>
                </a:extLst>
              </xdr:cNvPr>
              <xdr:cNvSpPr/>
            </xdr:nvSpPr>
            <xdr:spPr>
              <a:xfrm flipH="1">
                <a:off x="8173243" y="708142"/>
                <a:ext cx="144000" cy="1068094"/>
              </a:xfrm>
              <a:prstGeom prst="leftBracket">
                <a:avLst>
                  <a:gd name="adj" fmla="val 0"/>
                </a:avLst>
              </a:prstGeom>
              <a:grpFill/>
              <a:ln w="28575">
                <a:solidFill>
                  <a:schemeClr val="accent2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t-BR" sz="1100"/>
              </a:p>
            </xdr:txBody>
          </xdr:sp>
          <xdr:cxnSp macro="">
            <xdr:nvCxnSpPr>
              <xdr:cNvPr id="26" name="Conector reto 25">
                <a:extLst>
                  <a:ext uri="{FF2B5EF4-FFF2-40B4-BE49-F238E27FC236}">
                    <a16:creationId xmlns:a16="http://schemas.microsoft.com/office/drawing/2014/main" id="{00000000-0008-0000-0000-00001A000000}"/>
                  </a:ext>
                </a:extLst>
              </xdr:cNvPr>
              <xdr:cNvCxnSpPr>
                <a:stCxn id="25" idx="1"/>
              </xdr:cNvCxnSpPr>
            </xdr:nvCxnSpPr>
            <xdr:spPr>
              <a:xfrm>
                <a:off x="8317244" y="1242189"/>
                <a:ext cx="72068" cy="920"/>
              </a:xfrm>
              <a:prstGeom prst="line">
                <a:avLst/>
              </a:prstGeom>
              <a:grpFill/>
              <a:ln w="28575">
                <a:solidFill>
                  <a:schemeClr val="accent2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7" name="Conector reto 26">
                <a:extLst>
                  <a:ext uri="{FF2B5EF4-FFF2-40B4-BE49-F238E27FC236}">
                    <a16:creationId xmlns:a16="http://schemas.microsoft.com/office/drawing/2014/main" id="{00000000-0008-0000-0000-00001B000000}"/>
                  </a:ext>
                </a:extLst>
              </xdr:cNvPr>
              <xdr:cNvCxnSpPr>
                <a:endCxn id="25" idx="1"/>
              </xdr:cNvCxnSpPr>
            </xdr:nvCxnSpPr>
            <xdr:spPr>
              <a:xfrm flipV="1">
                <a:off x="8238917" y="1242189"/>
                <a:ext cx="78327" cy="920"/>
              </a:xfrm>
              <a:prstGeom prst="line">
                <a:avLst/>
              </a:prstGeom>
              <a:grpFill/>
              <a:ln w="28575">
                <a:solidFill>
                  <a:schemeClr val="accent2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17" name="CaixaDeTexto 16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 txBox="1"/>
        </xdr:nvSpPr>
        <xdr:spPr>
          <a:xfrm>
            <a:off x="238125" y="3106271"/>
            <a:ext cx="652743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200" b="1" i="1" u="sng"/>
              <a:t>Tensão</a:t>
            </a:r>
          </a:p>
        </xdr:txBody>
      </xdr:sp>
      <xdr:sp macro="" textlink="">
        <xdr:nvSpPr>
          <xdr:cNvPr id="19" name="CaixaDeTexto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 txBox="1"/>
        </xdr:nvSpPr>
        <xdr:spPr>
          <a:xfrm>
            <a:off x="209550" y="3411071"/>
            <a:ext cx="528918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 b="1" i="1"/>
              <a:t>1,5 V</a:t>
            </a:r>
          </a:p>
        </xdr:txBody>
      </xdr:sp>
      <xdr:sp macro="" textlink="">
        <xdr:nvSpPr>
          <xdr:cNvPr id="21" name="CaixaDeTexto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 txBox="1"/>
        </xdr:nvSpPr>
        <xdr:spPr>
          <a:xfrm>
            <a:off x="171450" y="4954121"/>
            <a:ext cx="528918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100" b="1" i="1"/>
              <a:t>-1,5 V</a:t>
            </a:r>
          </a:p>
        </xdr:txBody>
      </xdr:sp>
    </xdr:grpSp>
    <xdr:clientData/>
  </xdr:twoCellAnchor>
  <xdr:twoCellAnchor>
    <xdr:from>
      <xdr:col>9</xdr:col>
      <xdr:colOff>85725</xdr:colOff>
      <xdr:row>3</xdr:row>
      <xdr:rowOff>133350</xdr:rowOff>
    </xdr:from>
    <xdr:to>
      <xdr:col>16</xdr:col>
      <xdr:colOff>390525</xdr:colOff>
      <xdr:row>17</xdr:row>
      <xdr:rowOff>152400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333374</xdr:colOff>
      <xdr:row>4</xdr:row>
      <xdr:rowOff>161925</xdr:rowOff>
    </xdr:from>
    <xdr:to>
      <xdr:col>5</xdr:col>
      <xdr:colOff>47625</xdr:colOff>
      <xdr:row>15</xdr:row>
      <xdr:rowOff>19050</xdr:rowOff>
    </xdr:to>
    <xdr:grpSp>
      <xdr:nvGrpSpPr>
        <xdr:cNvPr id="34" name="Agrupar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GrpSpPr/>
      </xdr:nvGrpSpPr>
      <xdr:grpSpPr>
        <a:xfrm>
          <a:off x="2333624" y="1143000"/>
          <a:ext cx="933451" cy="1952625"/>
          <a:chOff x="2333624" y="1238250"/>
          <a:chExt cx="933451" cy="1952625"/>
        </a:xfrm>
      </xdr:grpSpPr>
      <xdr:grpSp>
        <xdr:nvGrpSpPr>
          <xdr:cNvPr id="3" name="Agrupar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2333624" y="1238250"/>
            <a:ext cx="933451" cy="1952625"/>
            <a:chOff x="2324099" y="1495425"/>
            <a:chExt cx="933451" cy="1952625"/>
          </a:xfrm>
        </xdr:grpSpPr>
        <xdr:grpSp>
          <xdr:nvGrpSpPr>
            <xdr:cNvPr id="4" name="Agrupar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2324099" y="1495425"/>
              <a:ext cx="933451" cy="1952625"/>
              <a:chOff x="1885949" y="1123950"/>
              <a:chExt cx="933451" cy="1962150"/>
            </a:xfrm>
          </xdr:grpSpPr>
          <xdr:sp macro="" textlink="">
            <xdr:nvSpPr>
              <xdr:cNvPr id="30" name="Retângulo: Cantos Arredondados 29">
                <a:extLst>
                  <a:ext uri="{FF2B5EF4-FFF2-40B4-BE49-F238E27FC236}">
                    <a16:creationId xmlns:a16="http://schemas.microsoft.com/office/drawing/2014/main" id="{00000000-0008-0000-0000-00001E000000}"/>
                  </a:ext>
                </a:extLst>
              </xdr:cNvPr>
              <xdr:cNvSpPr/>
            </xdr:nvSpPr>
            <xdr:spPr>
              <a:xfrm>
                <a:off x="1905000" y="1123950"/>
                <a:ext cx="914400" cy="1962150"/>
              </a:xfrm>
              <a:prstGeom prst="roundRect">
                <a:avLst>
                  <a:gd name="adj" fmla="val 9375"/>
                </a:avLst>
              </a:prstGeom>
              <a:solidFill>
                <a:schemeClr val="accent1">
                  <a:lumMod val="20000"/>
                  <a:lumOff val="80000"/>
                </a:schemeClr>
              </a:solidFill>
              <a:ln w="38100"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t-BR" sz="1100"/>
              </a:p>
            </xdr:txBody>
          </xdr:sp>
          <xdr:sp macro="" textlink="">
            <xdr:nvSpPr>
              <xdr:cNvPr id="38" name="CaixaDeTexto 37">
                <a:extLst>
                  <a:ext uri="{FF2B5EF4-FFF2-40B4-BE49-F238E27FC236}">
                    <a16:creationId xmlns:a16="http://schemas.microsoft.com/office/drawing/2014/main" id="{00000000-0008-0000-0000-000026000000}"/>
                  </a:ext>
                </a:extLst>
              </xdr:cNvPr>
              <xdr:cNvSpPr txBox="1"/>
            </xdr:nvSpPr>
            <xdr:spPr>
              <a:xfrm>
                <a:off x="1885949" y="1143000"/>
                <a:ext cx="9334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lang="pt-BR" sz="1100" b="1" i="1" u="sng"/>
                  <a:t>Capacitância</a:t>
                </a:r>
              </a:p>
            </xdr:txBody>
          </xdr:sp>
          <xdr:sp macro="" textlink="">
            <xdr:nvSpPr>
              <xdr:cNvPr id="39" name="CaixaDeTexto 38">
                <a:extLst>
                  <a:ext uri="{FF2B5EF4-FFF2-40B4-BE49-F238E27FC236}">
                    <a16:creationId xmlns:a16="http://schemas.microsoft.com/office/drawing/2014/main" id="{00000000-0008-0000-0000-000027000000}"/>
                  </a:ext>
                </a:extLst>
              </xdr:cNvPr>
              <xdr:cNvSpPr txBox="1"/>
            </xdr:nvSpPr>
            <xdr:spPr>
              <a:xfrm>
                <a:off x="1981199" y="2663144"/>
                <a:ext cx="4762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lang="pt-BR" sz="1100" b="1" i="1" u="none"/>
                  <a:t>Min</a:t>
                </a:r>
              </a:p>
            </xdr:txBody>
          </xdr:sp>
          <xdr:sp macro="" textlink="">
            <xdr:nvSpPr>
              <xdr:cNvPr id="40" name="CaixaDeTexto 39">
                <a:extLst>
                  <a:ext uri="{FF2B5EF4-FFF2-40B4-BE49-F238E27FC236}">
                    <a16:creationId xmlns:a16="http://schemas.microsoft.com/office/drawing/2014/main" id="{00000000-0008-0000-0000-000028000000}"/>
                  </a:ext>
                </a:extLst>
              </xdr:cNvPr>
              <xdr:cNvSpPr txBox="1"/>
            </xdr:nvSpPr>
            <xdr:spPr>
              <a:xfrm>
                <a:off x="1962149" y="1499189"/>
                <a:ext cx="4762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lang="pt-BR" sz="1100" b="1" i="1" u="none"/>
                  <a:t>Máx</a:t>
                </a:r>
              </a:p>
            </xdr:txBody>
          </xdr:sp>
        </xdr:grp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106" name="Scroll Bar 10" hidden="1">
                  <a:extLst>
                    <a:ext uri="{63B3BB69-23CF-44E3-9099-C40C66FF867C}">
                      <a14:compatExt spid="_x0000_s4106"/>
                    </a:ext>
                    <a:ext uri="{FF2B5EF4-FFF2-40B4-BE49-F238E27FC236}">
                      <a16:creationId xmlns:a16="http://schemas.microsoft.com/office/drawing/2014/main" id="{00000000-0008-0000-0000-00000A100000}"/>
                    </a:ext>
                  </a:extLst>
                </xdr:cNvPr>
                <xdr:cNvSpPr/>
              </xdr:nvSpPr>
              <xdr:spPr bwMode="auto">
                <a:xfrm>
                  <a:off x="2905125" y="1857375"/>
                  <a:ext cx="200025" cy="1476375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</xdr:grpSp>
      <xdr:grpSp>
        <xdr:nvGrpSpPr>
          <xdr:cNvPr id="4168" name="Agrupar 4167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GrpSpPr/>
        </xdr:nvGrpSpPr>
        <xdr:grpSpPr>
          <a:xfrm>
            <a:off x="2479396" y="1857375"/>
            <a:ext cx="288012" cy="952500"/>
            <a:chOff x="8173243" y="708142"/>
            <a:chExt cx="286876" cy="1068094"/>
          </a:xfrm>
          <a:noFill/>
        </xdr:grpSpPr>
        <xdr:sp macro="" textlink="">
          <xdr:nvSpPr>
            <xdr:cNvPr id="4171" name="Colchete Esquerdo 4170">
              <a:extLst>
                <a:ext uri="{FF2B5EF4-FFF2-40B4-BE49-F238E27FC236}">
                  <a16:creationId xmlns:a16="http://schemas.microsoft.com/office/drawing/2014/main" id="{00000000-0008-0000-0000-00004B100000}"/>
                </a:ext>
              </a:extLst>
            </xdr:cNvPr>
            <xdr:cNvSpPr/>
          </xdr:nvSpPr>
          <xdr:spPr>
            <a:xfrm>
              <a:off x="8316119" y="708142"/>
              <a:ext cx="144000" cy="1068094"/>
            </a:xfrm>
            <a:prstGeom prst="leftBracket">
              <a:avLst>
                <a:gd name="adj" fmla="val 0"/>
              </a:avLst>
            </a:prstGeom>
            <a:grpFill/>
            <a:ln w="28575">
              <a:solidFill>
                <a:schemeClr val="accent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" textlink="">
          <xdr:nvSpPr>
            <xdr:cNvPr id="4172" name="Colchete Esquerdo 4171">
              <a:extLst>
                <a:ext uri="{FF2B5EF4-FFF2-40B4-BE49-F238E27FC236}">
                  <a16:creationId xmlns:a16="http://schemas.microsoft.com/office/drawing/2014/main" id="{00000000-0008-0000-0000-00004C100000}"/>
                </a:ext>
              </a:extLst>
            </xdr:cNvPr>
            <xdr:cNvSpPr/>
          </xdr:nvSpPr>
          <xdr:spPr>
            <a:xfrm flipH="1">
              <a:off x="8173243" y="708142"/>
              <a:ext cx="144000" cy="1068094"/>
            </a:xfrm>
            <a:prstGeom prst="leftBracket">
              <a:avLst>
                <a:gd name="adj" fmla="val 0"/>
              </a:avLst>
            </a:prstGeom>
            <a:grpFill/>
            <a:ln w="28575">
              <a:solidFill>
                <a:schemeClr val="accent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cxnSp macro="">
          <xdr:nvCxnSpPr>
            <xdr:cNvPr id="4173" name="Conector reto 4172">
              <a:extLst>
                <a:ext uri="{FF2B5EF4-FFF2-40B4-BE49-F238E27FC236}">
                  <a16:creationId xmlns:a16="http://schemas.microsoft.com/office/drawing/2014/main" id="{00000000-0008-0000-0000-00004D100000}"/>
                </a:ext>
              </a:extLst>
            </xdr:cNvPr>
            <xdr:cNvCxnSpPr>
              <a:stCxn id="4172" idx="1"/>
            </xdr:cNvCxnSpPr>
          </xdr:nvCxnSpPr>
          <xdr:spPr>
            <a:xfrm>
              <a:off x="8317244" y="1242189"/>
              <a:ext cx="72068" cy="920"/>
            </a:xfrm>
            <a:prstGeom prst="line">
              <a:avLst/>
            </a:prstGeom>
            <a:grpFill/>
            <a:ln w="28575">
              <a:solidFill>
                <a:schemeClr val="accent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174" name="Conector reto 4173">
              <a:extLst>
                <a:ext uri="{FF2B5EF4-FFF2-40B4-BE49-F238E27FC236}">
                  <a16:creationId xmlns:a16="http://schemas.microsoft.com/office/drawing/2014/main" id="{00000000-0008-0000-0000-00004E100000}"/>
                </a:ext>
              </a:extLst>
            </xdr:cNvPr>
            <xdr:cNvCxnSpPr>
              <a:endCxn id="4172" idx="1"/>
            </xdr:cNvCxnSpPr>
          </xdr:nvCxnSpPr>
          <xdr:spPr>
            <a:xfrm flipV="1">
              <a:off x="8238917" y="1242189"/>
              <a:ext cx="78327" cy="920"/>
            </a:xfrm>
            <a:prstGeom prst="line">
              <a:avLst/>
            </a:prstGeom>
            <a:grpFill/>
            <a:ln w="28575">
              <a:solidFill>
                <a:schemeClr val="accent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10</xdr:col>
      <xdr:colOff>266700</xdr:colOff>
      <xdr:row>6</xdr:row>
      <xdr:rowOff>19050</xdr:rowOff>
    </xdr:from>
    <xdr:to>
      <xdr:col>14</xdr:col>
      <xdr:colOff>95250</xdr:colOff>
      <xdr:row>12</xdr:row>
      <xdr:rowOff>161936</xdr:rowOff>
    </xdr:to>
    <xdr:grpSp>
      <xdr:nvGrpSpPr>
        <xdr:cNvPr id="13" name="Agrupa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6657975" y="1381125"/>
          <a:ext cx="2266950" cy="1285886"/>
          <a:chOff x="5562600" y="24660225"/>
          <a:chExt cx="2266950" cy="1285886"/>
        </a:xfrm>
      </xdr:grpSpPr>
      <xdr:graphicFrame macro="">
        <xdr:nvGraphicFramePr>
          <xdr:cNvPr id="31" name="Gráfico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GraphicFramePr/>
        </xdr:nvGraphicFramePr>
        <xdr:xfrm>
          <a:off x="5610225" y="24660225"/>
          <a:ext cx="2219325" cy="128587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pic>
        <xdr:nvPicPr>
          <xdr:cNvPr id="32" name="Imagem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alphaModFix/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saturation sat="51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5400000">
            <a:off x="5767384" y="24512595"/>
            <a:ext cx="1228732" cy="1638300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419100</xdr:colOff>
      <xdr:row>1</xdr:row>
      <xdr:rowOff>295275</xdr:rowOff>
    </xdr:from>
    <xdr:to>
      <xdr:col>15</xdr:col>
      <xdr:colOff>152399</xdr:colOff>
      <xdr:row>17</xdr:row>
      <xdr:rowOff>152400</xdr:rowOff>
    </xdr:to>
    <xdr:graphicFrame macro="">
      <xdr:nvGraphicFramePr>
        <xdr:cNvPr id="33" name="Gráfico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40963</xdr:colOff>
      <xdr:row>19</xdr:row>
      <xdr:rowOff>156959</xdr:rowOff>
    </xdr:from>
    <xdr:to>
      <xdr:col>7</xdr:col>
      <xdr:colOff>77687</xdr:colOff>
      <xdr:row>20</xdr:row>
      <xdr:rowOff>165242</xdr:rowOff>
    </xdr:to>
    <xdr:sp macro="" textlink="">
      <xdr:nvSpPr>
        <xdr:cNvPr id="4107" name="Retângulo 4106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SpPr/>
      </xdr:nvSpPr>
      <xdr:spPr>
        <a:xfrm>
          <a:off x="3870013" y="4090784"/>
          <a:ext cx="646324" cy="198783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5</xdr:col>
      <xdr:colOff>9525</xdr:colOff>
      <xdr:row>17</xdr:row>
      <xdr:rowOff>66673</xdr:rowOff>
    </xdr:from>
    <xdr:to>
      <xdr:col>7</xdr:col>
      <xdr:colOff>457200</xdr:colOff>
      <xdr:row>23</xdr:row>
      <xdr:rowOff>38100</xdr:rowOff>
    </xdr:to>
    <xdr:grpSp>
      <xdr:nvGrpSpPr>
        <xdr:cNvPr id="4156" name="Agrupar 4155">
          <a:extLst>
            <a:ext uri="{FF2B5EF4-FFF2-40B4-BE49-F238E27FC236}">
              <a16:creationId xmlns:a16="http://schemas.microsoft.com/office/drawing/2014/main" id="{00000000-0008-0000-0000-00003C100000}"/>
            </a:ext>
          </a:extLst>
        </xdr:cNvPr>
        <xdr:cNvGrpSpPr/>
      </xdr:nvGrpSpPr>
      <xdr:grpSpPr>
        <a:xfrm>
          <a:off x="3228975" y="3524248"/>
          <a:ext cx="1666875" cy="1114427"/>
          <a:chOff x="3238500" y="3905248"/>
          <a:chExt cx="1666875" cy="1133476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" name="Scroll Bar 22" hidden="1">
                <a:extLst>
                  <a:ext uri="{63B3BB69-23CF-44E3-9099-C40C66FF867C}">
                    <a14:compatExt spid="_x0000_s4118"/>
                  </a:ex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/>
            </xdr:nvSpPr>
            <xdr:spPr bwMode="auto">
              <a:xfrm>
                <a:off x="3371850" y="4295775"/>
                <a:ext cx="1438275" cy="5238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mc:Choice>
        <mc:Fallback/>
      </mc:AlternateContent>
      <xdr:grpSp>
        <xdr:nvGrpSpPr>
          <xdr:cNvPr id="4145" name="Agrupar 4144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GrpSpPr/>
        </xdr:nvGrpSpPr>
        <xdr:grpSpPr>
          <a:xfrm>
            <a:off x="3238500" y="3905248"/>
            <a:ext cx="1666875" cy="1133476"/>
            <a:chOff x="3324225" y="3924298"/>
            <a:chExt cx="1666875" cy="1133476"/>
          </a:xfrm>
        </xdr:grpSpPr>
        <xdr:sp macro="" textlink="">
          <xdr:nvSpPr>
            <xdr:cNvPr id="4118" name="Retângulo 4117">
              <a:extLst>
                <a:ext uri="{FF2B5EF4-FFF2-40B4-BE49-F238E27FC236}">
                  <a16:creationId xmlns:a16="http://schemas.microsoft.com/office/drawing/2014/main" id="{00000000-0008-0000-0000-000016100000}"/>
                </a:ext>
              </a:extLst>
            </xdr:cNvPr>
            <xdr:cNvSpPr/>
          </xdr:nvSpPr>
          <xdr:spPr>
            <a:xfrm>
              <a:off x="3476626" y="4772029"/>
              <a:ext cx="1438274" cy="285745"/>
            </a:xfrm>
            <a:prstGeom prst="rect">
              <a:avLst/>
            </a:prstGeom>
            <a:solidFill>
              <a:schemeClr val="bg2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" textlink="">
          <xdr:nvSpPr>
            <xdr:cNvPr id="4103" name="Retângulo 4102">
              <a:extLs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>
            <a:xfrm>
              <a:off x="4381500" y="4214196"/>
              <a:ext cx="609600" cy="748333"/>
            </a:xfrm>
            <a:prstGeom prst="rect">
              <a:avLst/>
            </a:prstGeom>
            <a:solidFill>
              <a:schemeClr val="bg2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sp macro="" textlink="">
          <xdr:nvSpPr>
            <xdr:cNvPr id="4101" name="Retângulo 4100">
              <a:extLs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>
            <a:xfrm>
              <a:off x="3324225" y="4244011"/>
              <a:ext cx="676220" cy="563218"/>
            </a:xfrm>
            <a:prstGeom prst="rect">
              <a:avLst/>
            </a:prstGeom>
            <a:solidFill>
              <a:schemeClr val="bg2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grpSp>
          <xdr:nvGrpSpPr>
            <xdr:cNvPr id="35" name="Agrupar 34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GrpSpPr/>
          </xdr:nvGrpSpPr>
          <xdr:grpSpPr>
            <a:xfrm flipV="1">
              <a:off x="3725541" y="3924298"/>
              <a:ext cx="923320" cy="600646"/>
              <a:chOff x="1884855" y="1869984"/>
              <a:chExt cx="5345241" cy="2934817"/>
            </a:xfrm>
          </xdr:grpSpPr>
          <xdr:sp macro="" textlink="">
            <xdr:nvSpPr>
              <xdr:cNvPr id="36" name="Retângulo: Cantos Arredondados 35">
                <a:extLst>
                  <a:ext uri="{FF2B5EF4-FFF2-40B4-BE49-F238E27FC236}">
                    <a16:creationId xmlns:a16="http://schemas.microsoft.com/office/drawing/2014/main" id="{00000000-0008-0000-0000-000024000000}"/>
                  </a:ext>
                </a:extLst>
              </xdr:cNvPr>
              <xdr:cNvSpPr/>
            </xdr:nvSpPr>
            <xdr:spPr>
              <a:xfrm>
                <a:off x="1884855" y="1869984"/>
                <a:ext cx="5345241" cy="1780696"/>
              </a:xfrm>
              <a:prstGeom prst="roundRect">
                <a:avLst>
                  <a:gd name="adj" fmla="val 10878"/>
                </a:avLst>
              </a:prstGeom>
              <a:solidFill>
                <a:schemeClr val="bg2">
                  <a:lumMod val="75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pt-BR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pt-BR"/>
              </a:p>
            </xdr:txBody>
          </xdr:sp>
          <xdr:sp macro="" textlink="">
            <xdr:nvSpPr>
              <xdr:cNvPr id="37" name="Retângulo 36">
                <a:extLst>
                  <a:ext uri="{FF2B5EF4-FFF2-40B4-BE49-F238E27FC236}">
                    <a16:creationId xmlns:a16="http://schemas.microsoft.com/office/drawing/2014/main" id="{00000000-0008-0000-0000-000025000000}"/>
                  </a:ext>
                </a:extLst>
              </xdr:cNvPr>
              <xdr:cNvSpPr/>
            </xdr:nvSpPr>
            <xdr:spPr>
              <a:xfrm>
                <a:off x="1884855" y="3650673"/>
                <a:ext cx="5320823" cy="144000"/>
              </a:xfrm>
              <a:prstGeom prst="rect">
                <a:avLst/>
              </a:prstGeom>
              <a:solidFill>
                <a:srgbClr val="C08000"/>
              </a:solidFill>
              <a:ln w="38100"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pt-BR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pt-BR"/>
              </a:p>
            </xdr:txBody>
          </xdr:sp>
          <xdr:sp macro="" textlink="">
            <xdr:nvSpPr>
              <xdr:cNvPr id="46" name="Fluxograma: Entrada Manual 45">
                <a:extLst>
                  <a:ext uri="{FF2B5EF4-FFF2-40B4-BE49-F238E27FC236}">
                    <a16:creationId xmlns:a16="http://schemas.microsoft.com/office/drawing/2014/main" id="{00000000-0008-0000-0000-00002E000000}"/>
                  </a:ext>
                </a:extLst>
              </xdr:cNvPr>
              <xdr:cNvSpPr/>
            </xdr:nvSpPr>
            <xdr:spPr>
              <a:xfrm rot="16200000">
                <a:off x="6145980" y="3567547"/>
                <a:ext cx="1641764" cy="526468"/>
              </a:xfrm>
              <a:prstGeom prst="flowChartManualInput">
                <a:avLst/>
              </a:prstGeom>
              <a:solidFill>
                <a:schemeClr val="bg2">
                  <a:lumMod val="75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pt-BR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pt-BR"/>
              </a:p>
            </xdr:txBody>
          </xdr:sp>
          <xdr:sp macro="" textlink="">
            <xdr:nvSpPr>
              <xdr:cNvPr id="47" name="Fluxograma: Entrada Manual 46">
                <a:extLst>
                  <a:ext uri="{FF2B5EF4-FFF2-40B4-BE49-F238E27FC236}">
                    <a16:creationId xmlns:a16="http://schemas.microsoft.com/office/drawing/2014/main" id="{00000000-0008-0000-0000-00002F000000}"/>
                  </a:ext>
                </a:extLst>
              </xdr:cNvPr>
              <xdr:cNvSpPr/>
            </xdr:nvSpPr>
            <xdr:spPr>
              <a:xfrm rot="5400000" flipH="1">
                <a:off x="1327207" y="3567547"/>
                <a:ext cx="1641764" cy="526468"/>
              </a:xfrm>
              <a:prstGeom prst="flowChartManualInput">
                <a:avLst/>
              </a:prstGeom>
              <a:solidFill>
                <a:schemeClr val="bg2">
                  <a:lumMod val="75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pt-BR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pt-BR"/>
              </a:p>
            </xdr:txBody>
          </xdr:sp>
          <xdr:sp macro="" textlink="">
            <xdr:nvSpPr>
              <xdr:cNvPr id="59" name="Retângulo 58">
                <a:extLst>
                  <a:ext uri="{FF2B5EF4-FFF2-40B4-BE49-F238E27FC236}">
                    <a16:creationId xmlns:a16="http://schemas.microsoft.com/office/drawing/2014/main" id="{00000000-0008-0000-0000-00003B000000}"/>
                  </a:ext>
                </a:extLst>
              </xdr:cNvPr>
              <xdr:cNvSpPr/>
            </xdr:nvSpPr>
            <xdr:spPr>
              <a:xfrm>
                <a:off x="3075710" y="3578673"/>
                <a:ext cx="247736" cy="216000"/>
              </a:xfrm>
              <a:prstGeom prst="rect">
                <a:avLst/>
              </a:prstGeom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pt-BR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pt-BR"/>
              </a:p>
            </xdr:txBody>
          </xdr:sp>
          <xdr:sp macro="" textlink="">
            <xdr:nvSpPr>
              <xdr:cNvPr id="62" name="Retângulo 61">
                <a:extLst>
                  <a:ext uri="{FF2B5EF4-FFF2-40B4-BE49-F238E27FC236}">
                    <a16:creationId xmlns:a16="http://schemas.microsoft.com/office/drawing/2014/main" id="{00000000-0008-0000-0000-00003E000000}"/>
                  </a:ext>
                </a:extLst>
              </xdr:cNvPr>
              <xdr:cNvSpPr/>
            </xdr:nvSpPr>
            <xdr:spPr>
              <a:xfrm>
                <a:off x="5805055" y="3551700"/>
                <a:ext cx="247736" cy="216000"/>
              </a:xfrm>
              <a:prstGeom prst="rect">
                <a:avLst/>
              </a:prstGeom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pt-BR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pt-BR"/>
              </a:p>
            </xdr:txBody>
          </xdr:sp>
          <xdr:sp macro="" textlink="">
            <xdr:nvSpPr>
              <xdr:cNvPr id="63" name="Retângulo 62">
                <a:extLst>
                  <a:ext uri="{FF2B5EF4-FFF2-40B4-BE49-F238E27FC236}">
                    <a16:creationId xmlns:a16="http://schemas.microsoft.com/office/drawing/2014/main" id="{00000000-0008-0000-0000-00003F000000}"/>
                  </a:ext>
                </a:extLst>
              </xdr:cNvPr>
              <xdr:cNvSpPr/>
            </xdr:nvSpPr>
            <xdr:spPr>
              <a:xfrm>
                <a:off x="4434594" y="3578673"/>
                <a:ext cx="247736" cy="216000"/>
              </a:xfrm>
              <a:prstGeom prst="rect">
                <a:avLst/>
              </a:prstGeom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pt-BR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pt-BR"/>
              </a:p>
            </xdr:txBody>
          </xdr:sp>
          <xdr:sp macro="" textlink="">
            <xdr:nvSpPr>
              <xdr:cNvPr id="4096" name="Retângulo 4095">
                <a:extLst>
                  <a:ext uri="{FF2B5EF4-FFF2-40B4-BE49-F238E27FC236}">
                    <a16:creationId xmlns:a16="http://schemas.microsoft.com/office/drawing/2014/main" id="{00000000-0008-0000-0000-000000100000}"/>
                  </a:ext>
                </a:extLst>
              </xdr:cNvPr>
              <xdr:cNvSpPr/>
            </xdr:nvSpPr>
            <xdr:spPr>
              <a:xfrm>
                <a:off x="4502627" y="3778090"/>
                <a:ext cx="155404" cy="1026711"/>
              </a:xfrm>
              <a:prstGeom prst="rect">
                <a:avLst/>
              </a:prstGeom>
              <a:solidFill>
                <a:schemeClr val="tx1">
                  <a:lumMod val="65000"/>
                  <a:lumOff val="35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pt-BR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pt-BR"/>
              </a:p>
            </xdr:txBody>
          </xdr:sp>
          <xdr:sp macro="" textlink="">
            <xdr:nvSpPr>
              <xdr:cNvPr id="4098" name="Retângulo 4097">
                <a:extLst>
                  <a:ext uri="{FF2B5EF4-FFF2-40B4-BE49-F238E27FC236}">
                    <a16:creationId xmlns:a16="http://schemas.microsoft.com/office/drawing/2014/main" id="{00000000-0008-0000-0000-000002100000}"/>
                  </a:ext>
                </a:extLst>
              </xdr:cNvPr>
              <xdr:cNvSpPr/>
            </xdr:nvSpPr>
            <xdr:spPr>
              <a:xfrm>
                <a:off x="3412774" y="3778092"/>
                <a:ext cx="109697" cy="1026709"/>
              </a:xfrm>
              <a:prstGeom prst="rect">
                <a:avLst/>
              </a:prstGeom>
              <a:solidFill>
                <a:schemeClr val="tx1">
                  <a:lumMod val="65000"/>
                  <a:lumOff val="35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pt-BR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pt-BR"/>
              </a:p>
            </xdr:txBody>
          </xdr:sp>
          <xdr:sp macro="" textlink="">
            <xdr:nvSpPr>
              <xdr:cNvPr id="4099" name="Retângulo 4098">
                <a:extLst>
                  <a:ext uri="{FF2B5EF4-FFF2-40B4-BE49-F238E27FC236}">
                    <a16:creationId xmlns:a16="http://schemas.microsoft.com/office/drawing/2014/main" id="{00000000-0008-0000-0000-000003100000}"/>
                  </a:ext>
                </a:extLst>
              </xdr:cNvPr>
              <xdr:cNvSpPr/>
            </xdr:nvSpPr>
            <xdr:spPr>
              <a:xfrm>
                <a:off x="5638130" y="3767700"/>
                <a:ext cx="109697" cy="1026709"/>
              </a:xfrm>
              <a:prstGeom prst="rect">
                <a:avLst/>
              </a:prstGeom>
              <a:solidFill>
                <a:schemeClr val="tx1">
                  <a:lumMod val="65000"/>
                  <a:lumOff val="35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pt-BR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pt-BR"/>
              </a:p>
            </xdr:txBody>
          </xdr:sp>
        </xdr:grpSp>
      </xdr:grpSp>
    </xdr:grpSp>
    <xdr:clientData/>
  </xdr:twoCellAnchor>
  <xdr:twoCellAnchor>
    <xdr:from>
      <xdr:col>6</xdr:col>
      <xdr:colOff>266700</xdr:colOff>
      <xdr:row>15</xdr:row>
      <xdr:rowOff>9525</xdr:rowOff>
    </xdr:from>
    <xdr:to>
      <xdr:col>6</xdr:col>
      <xdr:colOff>266849</xdr:colOff>
      <xdr:row>17</xdr:row>
      <xdr:rowOff>168525</xdr:rowOff>
    </xdr:to>
    <xdr:cxnSp macro="">
      <xdr:nvCxnSpPr>
        <xdr:cNvPr id="4159" name="Conector reto 4158">
          <a:extLst>
            <a:ext uri="{FF2B5EF4-FFF2-40B4-BE49-F238E27FC236}">
              <a16:creationId xmlns:a16="http://schemas.microsoft.com/office/drawing/2014/main" id="{00000000-0008-0000-0000-00003F100000}"/>
            </a:ext>
          </a:extLst>
        </xdr:cNvPr>
        <xdr:cNvCxnSpPr/>
      </xdr:nvCxnSpPr>
      <xdr:spPr>
        <a:xfrm>
          <a:off x="4095750" y="3086100"/>
          <a:ext cx="149" cy="540000"/>
        </a:xfrm>
        <a:prstGeom prst="line">
          <a:avLst/>
        </a:prstGeom>
        <a:ln w="57150">
          <a:solidFill>
            <a:schemeClr val="bg2">
              <a:lumMod val="2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16</xdr:row>
      <xdr:rowOff>107925</xdr:rowOff>
    </xdr:from>
    <xdr:to>
      <xdr:col>7</xdr:col>
      <xdr:colOff>287025</xdr:colOff>
      <xdr:row>18</xdr:row>
      <xdr:rowOff>50925</xdr:rowOff>
    </xdr:to>
    <xdr:grpSp>
      <xdr:nvGrpSpPr>
        <xdr:cNvPr id="4186" name="Agrupar 4185">
          <a:extLst>
            <a:ext uri="{FF2B5EF4-FFF2-40B4-BE49-F238E27FC236}">
              <a16:creationId xmlns:a16="http://schemas.microsoft.com/office/drawing/2014/main" id="{00000000-0008-0000-0000-00005A100000}"/>
            </a:ext>
          </a:extLst>
        </xdr:cNvPr>
        <xdr:cNvGrpSpPr/>
      </xdr:nvGrpSpPr>
      <xdr:grpSpPr>
        <a:xfrm>
          <a:off x="4257675" y="3375000"/>
          <a:ext cx="468000" cy="324000"/>
          <a:chOff x="4248150" y="3727425"/>
          <a:chExt cx="468000" cy="324000"/>
        </a:xfrm>
      </xdr:grpSpPr>
      <xdr:cxnSp macro="">
        <xdr:nvCxnSpPr>
          <xdr:cNvPr id="4181" name="Conector reto 4180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CxnSpPr/>
        </xdr:nvCxnSpPr>
        <xdr:spPr>
          <a:xfrm flipH="1">
            <a:off x="4248150" y="3733800"/>
            <a:ext cx="468000" cy="0"/>
          </a:xfrm>
          <a:prstGeom prst="line">
            <a:avLst/>
          </a:prstGeom>
          <a:ln w="57150">
            <a:solidFill>
              <a:srgbClr val="0099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82" name="Conector reto 4181">
            <a:extLst>
              <a:ext uri="{FF2B5EF4-FFF2-40B4-BE49-F238E27FC236}">
                <a16:creationId xmlns:a16="http://schemas.microsoft.com/office/drawing/2014/main" id="{00000000-0008-0000-0000-000056100000}"/>
              </a:ext>
            </a:extLst>
          </xdr:cNvPr>
          <xdr:cNvCxnSpPr/>
        </xdr:nvCxnSpPr>
        <xdr:spPr>
          <a:xfrm rot="16200000" flipH="1">
            <a:off x="4118025" y="3889425"/>
            <a:ext cx="324000" cy="0"/>
          </a:xfrm>
          <a:prstGeom prst="line">
            <a:avLst/>
          </a:prstGeom>
          <a:ln w="57150">
            <a:solidFill>
              <a:srgbClr val="0099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247650</xdr:colOff>
      <xdr:row>16</xdr:row>
      <xdr:rowOff>107925</xdr:rowOff>
    </xdr:from>
    <xdr:to>
      <xdr:col>6</xdr:col>
      <xdr:colOff>106050</xdr:colOff>
      <xdr:row>18</xdr:row>
      <xdr:rowOff>50925</xdr:rowOff>
    </xdr:to>
    <xdr:grpSp>
      <xdr:nvGrpSpPr>
        <xdr:cNvPr id="4185" name="Agrupar 4184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/>
      </xdr:nvGrpSpPr>
      <xdr:grpSpPr>
        <a:xfrm flipH="1">
          <a:off x="3467100" y="3375000"/>
          <a:ext cx="468000" cy="324000"/>
          <a:chOff x="4400550" y="3879825"/>
          <a:chExt cx="468000" cy="324000"/>
        </a:xfrm>
      </xdr:grpSpPr>
      <xdr:cxnSp macro="">
        <xdr:nvCxnSpPr>
          <xdr:cNvPr id="4183" name="Conector reto 4182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CxnSpPr/>
        </xdr:nvCxnSpPr>
        <xdr:spPr>
          <a:xfrm flipH="1">
            <a:off x="4400550" y="3886200"/>
            <a:ext cx="468000" cy="0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84" name="Conector reto 4183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CxnSpPr/>
        </xdr:nvCxnSpPr>
        <xdr:spPr>
          <a:xfrm rot="16200000" flipH="1">
            <a:off x="4270425" y="4041825"/>
            <a:ext cx="324000" cy="0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247651</xdr:colOff>
      <xdr:row>19</xdr:row>
      <xdr:rowOff>161925</xdr:rowOff>
    </xdr:from>
    <xdr:to>
      <xdr:col>14</xdr:col>
      <xdr:colOff>371477</xdr:colOff>
      <xdr:row>27</xdr:row>
      <xdr:rowOff>28574</xdr:rowOff>
    </xdr:to>
    <xdr:grpSp>
      <xdr:nvGrpSpPr>
        <xdr:cNvPr id="15" name="Agrupar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7248526" y="4000500"/>
          <a:ext cx="1952626" cy="1390649"/>
          <a:chOff x="1085851" y="4133850"/>
          <a:chExt cx="1952626" cy="1390649"/>
        </a:xfrm>
      </xdr:grpSpPr>
      <xdr:grpSp>
        <xdr:nvGrpSpPr>
          <xdr:cNvPr id="14" name="Agrupar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GrpSpPr/>
        </xdr:nvGrpSpPr>
        <xdr:grpSpPr>
          <a:xfrm>
            <a:off x="1247778" y="4533903"/>
            <a:ext cx="1476000" cy="822586"/>
            <a:chOff x="1076328" y="6429378"/>
            <a:chExt cx="1476000" cy="822586"/>
          </a:xfrm>
        </xdr:grpSpPr>
        <xdr:cxnSp macro="">
          <xdr:nvCxnSpPr>
            <xdr:cNvPr id="4147" name="Conector reto 4146">
              <a:extLst>
                <a:ext uri="{FF2B5EF4-FFF2-40B4-BE49-F238E27FC236}">
                  <a16:creationId xmlns:a16="http://schemas.microsoft.com/office/drawing/2014/main" id="{00000000-0008-0000-0000-000033100000}"/>
                </a:ext>
              </a:extLst>
            </xdr:cNvPr>
            <xdr:cNvCxnSpPr/>
          </xdr:nvCxnSpPr>
          <xdr:spPr>
            <a:xfrm flipH="1">
              <a:off x="1152188" y="6429378"/>
              <a:ext cx="340" cy="822586"/>
            </a:xfrm>
            <a:prstGeom prst="line">
              <a:avLst/>
            </a:prstGeom>
            <a:ln w="19050">
              <a:solidFill>
                <a:schemeClr val="bg2">
                  <a:lumMod val="75000"/>
                </a:schemeClr>
              </a:solidFill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4148" name="Conector reto 4147">
              <a:extLst>
                <a:ext uri="{FF2B5EF4-FFF2-40B4-BE49-F238E27FC236}">
                  <a16:creationId xmlns:a16="http://schemas.microsoft.com/office/drawing/2014/main" id="{00000000-0008-0000-0000-000034100000}"/>
                </a:ext>
              </a:extLst>
            </xdr:cNvPr>
            <xdr:cNvCxnSpPr/>
          </xdr:nvCxnSpPr>
          <xdr:spPr>
            <a:xfrm rot="16200000" flipH="1">
              <a:off x="1809693" y="6454810"/>
              <a:ext cx="9269" cy="1476000"/>
            </a:xfrm>
            <a:prstGeom prst="line">
              <a:avLst/>
            </a:prstGeom>
            <a:ln w="19050">
              <a:solidFill>
                <a:schemeClr val="bg2">
                  <a:lumMod val="75000"/>
                </a:schemeClr>
              </a:solidFill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4167" name="Agrupar 4166">
            <a:extLst>
              <a:ext uri="{FF2B5EF4-FFF2-40B4-BE49-F238E27FC236}">
                <a16:creationId xmlns:a16="http://schemas.microsoft.com/office/drawing/2014/main" id="{00000000-0008-0000-0000-000047100000}"/>
              </a:ext>
            </a:extLst>
          </xdr:cNvPr>
          <xdr:cNvGrpSpPr/>
        </xdr:nvGrpSpPr>
        <xdr:grpSpPr>
          <a:xfrm>
            <a:off x="1085851" y="4133850"/>
            <a:ext cx="1952626" cy="1390649"/>
            <a:chOff x="190500" y="4057650"/>
            <a:chExt cx="1952626" cy="1429012"/>
          </a:xfrm>
        </xdr:grpSpPr>
        <xdr:grpSp>
          <xdr:nvGrpSpPr>
            <xdr:cNvPr id="4165" name="Agrupar 4164">
              <a:extLst>
                <a:ext uri="{FF2B5EF4-FFF2-40B4-BE49-F238E27FC236}">
                  <a16:creationId xmlns:a16="http://schemas.microsoft.com/office/drawing/2014/main" id="{00000000-0008-0000-0000-000045100000}"/>
                </a:ext>
              </a:extLst>
            </xdr:cNvPr>
            <xdr:cNvGrpSpPr/>
          </xdr:nvGrpSpPr>
          <xdr:grpSpPr>
            <a:xfrm>
              <a:off x="190500" y="4286249"/>
              <a:ext cx="1952626" cy="1200413"/>
              <a:chOff x="266700" y="3876674"/>
              <a:chExt cx="1952626" cy="1200413"/>
            </a:xfrm>
          </xdr:grpSpPr>
          <xdr:graphicFrame macro="">
            <xdr:nvGraphicFramePr>
              <xdr:cNvPr id="4139" name="Gráfico 4138">
                <a:extLst>
                  <a:ext uri="{FF2B5EF4-FFF2-40B4-BE49-F238E27FC236}">
                    <a16:creationId xmlns:a16="http://schemas.microsoft.com/office/drawing/2014/main" id="{00000000-0008-0000-0000-00002B10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314326" y="3876674"/>
              <a:ext cx="1905000" cy="1152525"/>
            </xdr:xfrm>
            <a:graphic>
              <a:graphicData uri="http://schemas.openxmlformats.org/drawingml/2006/chart">
                <c:chart xmlns:c="http://schemas.openxmlformats.org/drawingml/2006/chart" xmlns:r="http://schemas.openxmlformats.org/officeDocument/2006/relationships" r:id="rId10"/>
              </a:graphicData>
            </a:graphic>
          </xdr:graphicFrame>
          <xdr:sp macro="" textlink="">
            <xdr:nvSpPr>
              <xdr:cNvPr id="4164" name="Quadro 4163">
                <a:extLst>
                  <a:ext uri="{FF2B5EF4-FFF2-40B4-BE49-F238E27FC236}">
                    <a16:creationId xmlns:a16="http://schemas.microsoft.com/office/drawing/2014/main" id="{00000000-0008-0000-0000-000044100000}"/>
                  </a:ext>
                </a:extLst>
              </xdr:cNvPr>
              <xdr:cNvSpPr/>
            </xdr:nvSpPr>
            <xdr:spPr>
              <a:xfrm>
                <a:off x="266700" y="3953137"/>
                <a:ext cx="1895475" cy="1123950"/>
              </a:xfrm>
              <a:prstGeom prst="frame">
                <a:avLst>
                  <a:gd name="adj1" fmla="val 3222"/>
                </a:avLst>
              </a:prstGeom>
              <a:solidFill>
                <a:srgbClr val="33CC33"/>
              </a:solidFill>
              <a:ln w="19050">
                <a:solidFill>
                  <a:srgbClr val="0099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t-BR" sz="1100">
                  <a:solidFill>
                    <a:schemeClr val="tx1"/>
                  </a:solidFill>
                </a:endParaRPr>
              </a:p>
            </xdr:txBody>
          </xdr:sp>
        </xdr:grpSp>
        <xdr:sp macro="" textlink="">
          <xdr:nvSpPr>
            <xdr:cNvPr id="4166" name="Retângulo 4165">
              <a:extLst>
                <a:ext uri="{FF2B5EF4-FFF2-40B4-BE49-F238E27FC236}">
                  <a16:creationId xmlns:a16="http://schemas.microsoft.com/office/drawing/2014/main" id="{00000000-0008-0000-0000-000046100000}"/>
                </a:ext>
              </a:extLst>
            </xdr:cNvPr>
            <xdr:cNvSpPr/>
          </xdr:nvSpPr>
          <xdr:spPr>
            <a:xfrm>
              <a:off x="190500" y="4057650"/>
              <a:ext cx="1885951" cy="276225"/>
            </a:xfrm>
            <a:prstGeom prst="rect">
              <a:avLst/>
            </a:prstGeom>
            <a:solidFill>
              <a:srgbClr val="33CC33"/>
            </a:solidFill>
            <a:ln w="28575">
              <a:solidFill>
                <a:srgbClr val="0099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pt-BR" sz="1200" b="1" i="1"/>
                <a:t>Descarga do capacitor</a:t>
              </a:r>
            </a:p>
          </xdr:txBody>
        </xdr:sp>
      </xdr:grpSp>
    </xdr:grpSp>
    <xdr:clientData/>
  </xdr:twoCellAnchor>
  <xdr:twoCellAnchor>
    <xdr:from>
      <xdr:col>0</xdr:col>
      <xdr:colOff>142874</xdr:colOff>
      <xdr:row>22</xdr:row>
      <xdr:rowOff>104775</xdr:rowOff>
    </xdr:from>
    <xdr:to>
      <xdr:col>9</xdr:col>
      <xdr:colOff>152400</xdr:colOff>
      <xdr:row>27</xdr:row>
      <xdr:rowOff>28575</xdr:rowOff>
    </xdr:to>
    <xdr:grpSp>
      <xdr:nvGrpSpPr>
        <xdr:cNvPr id="55" name="Agrupar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GrpSpPr/>
      </xdr:nvGrpSpPr>
      <xdr:grpSpPr>
        <a:xfrm>
          <a:off x="142874" y="4514850"/>
          <a:ext cx="5791201" cy="876300"/>
          <a:chOff x="247649" y="4676775"/>
          <a:chExt cx="5791201" cy="876300"/>
        </a:xfrm>
      </xdr:grpSpPr>
      <xdr:grpSp>
        <xdr:nvGrpSpPr>
          <xdr:cNvPr id="4115" name="Agrupar 4114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GrpSpPr/>
        </xdr:nvGrpSpPr>
        <xdr:grpSpPr>
          <a:xfrm>
            <a:off x="247649" y="4676775"/>
            <a:ext cx="5791201" cy="847725"/>
            <a:chOff x="4867274" y="295275"/>
            <a:chExt cx="5791201" cy="847725"/>
          </a:xfrm>
        </xdr:grpSpPr>
        <xdr:sp macro="" textlink="">
          <xdr:nvSpPr>
            <xdr:cNvPr id="29" name="Retângulo: Cantos Arredondados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SpPr/>
          </xdr:nvSpPr>
          <xdr:spPr>
            <a:xfrm>
              <a:off x="4867274" y="295275"/>
              <a:ext cx="4391025" cy="847725"/>
            </a:xfrm>
            <a:prstGeom prst="roundRect">
              <a:avLst>
                <a:gd name="adj" fmla="val 11291"/>
              </a:avLst>
            </a:prstGeom>
            <a:solidFill>
              <a:schemeClr val="accent5">
                <a:lumMod val="20000"/>
                <a:lumOff val="80000"/>
              </a:schemeClr>
            </a:solidFill>
            <a:ln w="38100"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t-BR" sz="1100"/>
            </a:p>
          </xdr:txBody>
        </xdr:sp>
        <xdr:grpSp>
          <xdr:nvGrpSpPr>
            <xdr:cNvPr id="4200" name="Agrupar 4199">
              <a:extLst>
                <a:ext uri="{FF2B5EF4-FFF2-40B4-BE49-F238E27FC236}">
                  <a16:creationId xmlns:a16="http://schemas.microsoft.com/office/drawing/2014/main" id="{00000000-0008-0000-0000-000068100000}"/>
                </a:ext>
              </a:extLst>
            </xdr:cNvPr>
            <xdr:cNvGrpSpPr/>
          </xdr:nvGrpSpPr>
          <xdr:grpSpPr>
            <a:xfrm>
              <a:off x="4905375" y="314324"/>
              <a:ext cx="5753100" cy="638176"/>
              <a:chOff x="5038725" y="161924"/>
              <a:chExt cx="5753100" cy="638176"/>
            </a:xfrm>
          </xdr:grpSpPr>
          <xdr:graphicFrame macro="">
            <xdr:nvGraphicFramePr>
              <xdr:cNvPr id="4110" name="Gráfico 4109">
                <a:extLst>
                  <a:ext uri="{FF2B5EF4-FFF2-40B4-BE49-F238E27FC236}">
                    <a16:creationId xmlns:a16="http://schemas.microsoft.com/office/drawing/2014/main" id="{00000000-0008-0000-0000-00000E10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6524625" y="209550"/>
              <a:ext cx="3676650" cy="276226"/>
            </xdr:xfrm>
            <a:graphic>
              <a:graphicData uri="http://schemas.openxmlformats.org/drawingml/2006/chart">
                <c:chart xmlns:c="http://schemas.openxmlformats.org/drawingml/2006/chart" xmlns:r="http://schemas.openxmlformats.org/officeDocument/2006/relationships" r:id="rId11"/>
              </a:graphicData>
            </a:graphic>
          </xdr:graphicFrame>
          <xdr:graphicFrame macro="">
            <xdr:nvGraphicFramePr>
              <xdr:cNvPr id="4195" name="Gráfico 4194">
                <a:extLst>
                  <a:ext uri="{FF2B5EF4-FFF2-40B4-BE49-F238E27FC236}">
                    <a16:creationId xmlns:a16="http://schemas.microsoft.com/office/drawing/2014/main" id="{00000000-0008-0000-0000-00006310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6515100" y="457200"/>
              <a:ext cx="4276725" cy="247650"/>
            </xdr:xfrm>
            <a:graphic>
              <a:graphicData uri="http://schemas.openxmlformats.org/drawingml/2006/chart">
                <c:chart xmlns:c="http://schemas.openxmlformats.org/drawingml/2006/chart" xmlns:r="http://schemas.openxmlformats.org/officeDocument/2006/relationships" r:id="rId12"/>
              </a:graphicData>
            </a:graphic>
          </xdr:graphicFrame>
          <xdr:grpSp>
            <xdr:nvGrpSpPr>
              <xdr:cNvPr id="4199" name="Agrupar 4198">
                <a:extLst>
                  <a:ext uri="{FF2B5EF4-FFF2-40B4-BE49-F238E27FC236}">
                    <a16:creationId xmlns:a16="http://schemas.microsoft.com/office/drawing/2014/main" id="{00000000-0008-0000-0000-000067100000}"/>
                  </a:ext>
                </a:extLst>
              </xdr:cNvPr>
              <xdr:cNvGrpSpPr/>
            </xdr:nvGrpSpPr>
            <xdr:grpSpPr>
              <a:xfrm>
                <a:off x="5038725" y="161924"/>
                <a:ext cx="1666875" cy="638176"/>
                <a:chOff x="5038725" y="161924"/>
                <a:chExt cx="1666875" cy="638176"/>
              </a:xfrm>
            </xdr:grpSpPr>
            <xdr:sp macro="" textlink="">
              <xdr:nvSpPr>
                <xdr:cNvPr id="58" name="CaixaDeTexto 57">
                  <a:extLst>
                    <a:ext uri="{FF2B5EF4-FFF2-40B4-BE49-F238E27FC236}">
                      <a16:creationId xmlns:a16="http://schemas.microsoft.com/office/drawing/2014/main" id="{00000000-0008-0000-0000-00003A000000}"/>
                    </a:ext>
                  </a:extLst>
                </xdr:cNvPr>
                <xdr:cNvSpPr txBox="1"/>
              </xdr:nvSpPr>
              <xdr:spPr>
                <a:xfrm>
                  <a:off x="5038725" y="190499"/>
                  <a:ext cx="1152525" cy="314326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r>
                    <a:rPr lang="pt-BR" sz="1300" b="1" i="0" u="sng"/>
                    <a:t>Capacitância</a:t>
                  </a:r>
                </a:p>
              </xdr:txBody>
            </xdr:sp>
            <xdr:sp macro="" textlink="COD_DESC_CAPACT!CL8">
              <xdr:nvSpPr>
                <xdr:cNvPr id="4104" name="Retângulo 4103">
                  <a:extLst>
                    <a:ext uri="{FF2B5EF4-FFF2-40B4-BE49-F238E27FC236}">
                      <a16:creationId xmlns:a16="http://schemas.microsoft.com/office/drawing/2014/main" id="{00000000-0008-0000-0000-000008100000}"/>
                    </a:ext>
                  </a:extLst>
                </xdr:cNvPr>
                <xdr:cNvSpPr/>
              </xdr:nvSpPr>
              <xdr:spPr>
                <a:xfrm>
                  <a:off x="6010274" y="161924"/>
                  <a:ext cx="514351" cy="39052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l"/>
                  <a:fld id="{8631A041-DFF5-46DF-BB2D-E54E1188198A}" type="TxLink">
                    <a:rPr lang="en-US" sz="1200" b="0" i="1" u="none" strike="noStrike">
                      <a:solidFill>
                        <a:srgbClr val="000000"/>
                      </a:solidFill>
                      <a:latin typeface="Calibri"/>
                      <a:cs typeface="Calibri"/>
                    </a:rPr>
                    <a:pPr algn="l"/>
                    <a:t>0,00</a:t>
                  </a:fld>
                  <a:endParaRPr lang="pt-BR" sz="1200" i="1"/>
                </a:p>
              </xdr:txBody>
            </xdr:sp>
            <xdr:sp macro="" textlink="">
              <xdr:nvSpPr>
                <xdr:cNvPr id="4108" name="CaixaDeTexto 4107">
                  <a:extLst>
                    <a:ext uri="{FF2B5EF4-FFF2-40B4-BE49-F238E27FC236}">
                      <a16:creationId xmlns:a16="http://schemas.microsoft.com/office/drawing/2014/main" id="{00000000-0008-0000-0000-00000C100000}"/>
                    </a:ext>
                  </a:extLst>
                </xdr:cNvPr>
                <xdr:cNvSpPr txBox="1"/>
              </xdr:nvSpPr>
              <xdr:spPr>
                <a:xfrm>
                  <a:off x="6343650" y="457199"/>
                  <a:ext cx="361950" cy="314326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r>
                    <a:rPr lang="pt-BR" sz="1200" b="0" i="1"/>
                    <a:t>pJ</a:t>
                  </a:r>
                </a:p>
              </xdr:txBody>
            </xdr:sp>
            <xdr:sp macro="" textlink="">
              <xdr:nvSpPr>
                <xdr:cNvPr id="4194" name="CaixaDeTexto 4193">
                  <a:extLst>
                    <a:ext uri="{FF2B5EF4-FFF2-40B4-BE49-F238E27FC236}">
                      <a16:creationId xmlns:a16="http://schemas.microsoft.com/office/drawing/2014/main" id="{00000000-0008-0000-0000-000062100000}"/>
                    </a:ext>
                  </a:extLst>
                </xdr:cNvPr>
                <xdr:cNvSpPr txBox="1"/>
              </xdr:nvSpPr>
              <xdr:spPr>
                <a:xfrm>
                  <a:off x="5048250" y="428624"/>
                  <a:ext cx="1152525" cy="314326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r>
                    <a:rPr lang="pt-BR" sz="1300" b="1" i="0" u="sng"/>
                    <a:t>Energia</a:t>
                  </a:r>
                </a:p>
              </xdr:txBody>
            </xdr:sp>
            <xdr:sp macro="" textlink="">
              <xdr:nvSpPr>
                <xdr:cNvPr id="4197" name="CaixaDeTexto 4196">
                  <a:extLst>
                    <a:ext uri="{FF2B5EF4-FFF2-40B4-BE49-F238E27FC236}">
                      <a16:creationId xmlns:a16="http://schemas.microsoft.com/office/drawing/2014/main" id="{00000000-0008-0000-0000-000065100000}"/>
                    </a:ext>
                  </a:extLst>
                </xdr:cNvPr>
                <xdr:cNvSpPr txBox="1"/>
              </xdr:nvSpPr>
              <xdr:spPr>
                <a:xfrm>
                  <a:off x="6334125" y="219074"/>
                  <a:ext cx="361950" cy="314326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r>
                    <a:rPr lang="pt-BR" sz="1200" b="0" i="1"/>
                    <a:t>pF</a:t>
                  </a:r>
                </a:p>
              </xdr:txBody>
            </xdr:sp>
            <xdr:sp macro="" textlink="COD_DESC_CAPACT!CU18">
              <xdr:nvSpPr>
                <xdr:cNvPr id="4198" name="Retângulo 4197">
                  <a:extLst>
                    <a:ext uri="{FF2B5EF4-FFF2-40B4-BE49-F238E27FC236}">
                      <a16:creationId xmlns:a16="http://schemas.microsoft.com/office/drawing/2014/main" id="{00000000-0008-0000-0000-000066100000}"/>
                    </a:ext>
                  </a:extLst>
                </xdr:cNvPr>
                <xdr:cNvSpPr/>
              </xdr:nvSpPr>
              <xdr:spPr>
                <a:xfrm>
                  <a:off x="6010275" y="409575"/>
                  <a:ext cx="514351" cy="39052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l"/>
                  <a:fld id="{70883BBE-3768-4C81-BB76-6333C38AE687}" type="TxLink">
                    <a:rPr lang="en-US" sz="1200" b="0" i="1" u="none" strike="noStrike">
                      <a:solidFill>
                        <a:srgbClr val="000000"/>
                      </a:solidFill>
                      <a:latin typeface="Calibri"/>
                      <a:cs typeface="Calibri"/>
                    </a:rPr>
                    <a:pPr algn="l"/>
                    <a:t>0,00</a:t>
                  </a:fld>
                  <a:endParaRPr lang="pt-BR" sz="1600" i="1"/>
                </a:p>
              </xdr:txBody>
            </xdr:sp>
          </xdr:grpSp>
        </xdr:grpSp>
      </xdr:grpSp>
      <xdr:sp macro="" textlink="">
        <xdr:nvSpPr>
          <xdr:cNvPr id="42" name="CaixaDeTexto 41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295274" y="5181600"/>
            <a:ext cx="1266826" cy="3143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300" b="1" i="0" u="sng"/>
              <a:t>Tensão</a:t>
            </a:r>
            <a:r>
              <a:rPr lang="pt-BR" sz="1300" b="1" i="0" u="sng" baseline="0"/>
              <a:t> da pilha</a:t>
            </a:r>
            <a:endParaRPr lang="pt-BR" sz="1300" b="1" i="0" u="sng"/>
          </a:p>
        </xdr:txBody>
      </xdr:sp>
      <xdr:sp macro="" textlink="COD_DESC_CAPACT!W14">
        <xdr:nvSpPr>
          <xdr:cNvPr id="52" name="Retângulo 51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/>
        </xdr:nvSpPr>
        <xdr:spPr>
          <a:xfrm>
            <a:off x="1504949" y="5162550"/>
            <a:ext cx="581026" cy="3905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fld id="{F06C8885-7149-46CD-B9A6-AB41ECE60333}" type="TxLink">
              <a:rPr lang="en-US" sz="1200" b="0" i="1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</a:t>
            </a:fld>
            <a:endParaRPr lang="pt-BR" sz="1800" b="0" i="1"/>
          </a:p>
        </xdr:txBody>
      </xdr:sp>
      <xdr:sp macro="" textlink="">
        <xdr:nvSpPr>
          <xdr:cNvPr id="54" name="CaixaDeTexto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 txBox="1"/>
        </xdr:nvSpPr>
        <xdr:spPr>
          <a:xfrm>
            <a:off x="1943100" y="5219700"/>
            <a:ext cx="266700" cy="3143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t-BR" sz="1200" b="0" i="1"/>
              <a:t>V</a:t>
            </a:r>
          </a:p>
        </xdr:txBody>
      </xdr:sp>
    </xdr:grpSp>
    <xdr:clientData/>
  </xdr:twoCellAnchor>
  <xdr:twoCellAnchor>
    <xdr:from>
      <xdr:col>16</xdr:col>
      <xdr:colOff>285750</xdr:colOff>
      <xdr:row>1</xdr:row>
      <xdr:rowOff>38100</xdr:rowOff>
    </xdr:from>
    <xdr:to>
      <xdr:col>19</xdr:col>
      <xdr:colOff>152400</xdr:colOff>
      <xdr:row>8</xdr:row>
      <xdr:rowOff>19050</xdr:rowOff>
    </xdr:to>
    <xdr:grpSp>
      <xdr:nvGrpSpPr>
        <xdr:cNvPr id="4235" name="Agrupar 4234">
          <a:extLst>
            <a:ext uri="{FF2B5EF4-FFF2-40B4-BE49-F238E27FC236}">
              <a16:creationId xmlns:a16="http://schemas.microsoft.com/office/drawing/2014/main" id="{00000000-0008-0000-0000-00008B100000}"/>
            </a:ext>
          </a:extLst>
        </xdr:cNvPr>
        <xdr:cNvGrpSpPr/>
      </xdr:nvGrpSpPr>
      <xdr:grpSpPr>
        <a:xfrm>
          <a:off x="10334625" y="228600"/>
          <a:ext cx="1695450" cy="1533525"/>
          <a:chOff x="10363200" y="304800"/>
          <a:chExt cx="1695450" cy="1533525"/>
        </a:xfrm>
      </xdr:grpSpPr>
      <xdr:sp macro="" textlink="">
        <xdr:nvSpPr>
          <xdr:cNvPr id="4193" name="Retângulo: Cantos Arredondados 419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/>
        </xdr:nvSpPr>
        <xdr:spPr>
          <a:xfrm>
            <a:off x="10363200" y="304800"/>
            <a:ext cx="1695450" cy="1533525"/>
          </a:xfrm>
          <a:prstGeom prst="roundRect">
            <a:avLst>
              <a:gd name="adj" fmla="val 3801"/>
            </a:avLst>
          </a:prstGeom>
          <a:solidFill>
            <a:schemeClr val="accent3">
              <a:lumMod val="60000"/>
              <a:lumOff val="40000"/>
            </a:schemeClr>
          </a:solidFill>
          <a:ln w="3810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grpSp>
        <xdr:nvGrpSpPr>
          <xdr:cNvPr id="60" name="Agrupar 59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GrpSpPr/>
        </xdr:nvGrpSpPr>
        <xdr:grpSpPr>
          <a:xfrm>
            <a:off x="10496550" y="762000"/>
            <a:ext cx="1418400" cy="285751"/>
            <a:chOff x="5114925" y="571500"/>
            <a:chExt cx="1714500" cy="285751"/>
          </a:xfrm>
        </xdr:grpSpPr>
        <xdr:sp macro="" textlink="">
          <xdr:nvSpPr>
            <xdr:cNvPr id="56" name="Retângulo: Cantos Arredondados 55">
              <a:extLst>
                <a:ext uri="{FF2B5EF4-FFF2-40B4-BE49-F238E27FC236}">
                  <a16:creationId xmlns:a16="http://schemas.microsoft.com/office/drawing/2014/main" id="{00000000-0008-0000-0000-000038000000}"/>
                </a:ext>
              </a:extLst>
            </xdr:cNvPr>
            <xdr:cNvSpPr/>
          </xdr:nvSpPr>
          <xdr:spPr>
            <a:xfrm>
              <a:off x="5114925" y="571500"/>
              <a:ext cx="1714500" cy="285751"/>
            </a:xfrm>
            <a:prstGeom prst="roundRect">
              <a:avLst>
                <a:gd name="adj" fmla="val 16667"/>
              </a:avLst>
            </a:prstGeom>
            <a:solidFill>
              <a:srgbClr val="FFC000"/>
            </a:solidFill>
            <a:ln w="38100">
              <a:solidFill>
                <a:schemeClr val="bg2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pt-BR" sz="1100" b="1" i="1">
                  <a:solidFill>
                    <a:sysClr val="windowText" lastClr="000000"/>
                  </a:solidFill>
                </a:rPr>
                <a:t>L</a:t>
              </a:r>
              <a:r>
                <a:rPr lang="pt-BR" sz="1100" b="1" i="1" baseline="0">
                  <a:solidFill>
                    <a:sysClr val="windowText" lastClr="000000"/>
                  </a:solidFill>
                </a:rPr>
                <a:t>inhas de campo</a:t>
              </a:r>
              <a:endParaRPr lang="pt-BR" sz="1100" b="1" i="1">
                <a:solidFill>
                  <a:sysClr val="windowText" lastClr="000000"/>
                </a:solidFill>
              </a:endParaRP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2" name="Check Box 13" hidden="1">
                  <a:extLst>
                    <a:ext uri="{63B3BB69-23CF-44E3-9099-C40C66FF867C}">
                      <a14:compatExt spid="_x0000_s4109"/>
                    </a:ext>
                    <a:ext uri="{FF2B5EF4-FFF2-40B4-BE49-F238E27FC236}">
                      <a16:creationId xmlns:a16="http://schemas.microsoft.com/office/drawing/2014/main" id="{00000000-0008-0000-0000-000002000000}"/>
                    </a:ext>
                  </a:extLst>
                </xdr:cNvPr>
                <xdr:cNvSpPr/>
              </xdr:nvSpPr>
              <xdr:spPr bwMode="auto">
                <a:xfrm>
                  <a:off x="5181600" y="590552"/>
                  <a:ext cx="209550" cy="238124"/>
                </a:xfrm>
                <a:prstGeom prst="rect">
                  <a:avLst/>
                </a:prstGeom>
                <a:solidFill>
                  <a:srgbClr val="000080" mc:Ignorable="a14" a14:legacySpreadsheetColorIndex="32">
                    <a:alpha val="0"/>
                  </a:srgbClr>
                </a:solidFill>
                <a:ln>
                  <a:noFill/>
                </a:ln>
                <a:extLs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</xdr:grpSp>
      <xdr:grpSp>
        <xdr:nvGrpSpPr>
          <xdr:cNvPr id="4190" name="Agrupar 4189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GrpSpPr/>
        </xdr:nvGrpSpPr>
        <xdr:grpSpPr>
          <a:xfrm>
            <a:off x="10487025" y="409575"/>
            <a:ext cx="1418400" cy="285751"/>
            <a:chOff x="5114925" y="571500"/>
            <a:chExt cx="1725081" cy="285751"/>
          </a:xfrm>
          <a:solidFill>
            <a:srgbClr val="00B050"/>
          </a:solidFill>
        </xdr:grpSpPr>
        <xdr:sp macro="" textlink="">
          <xdr:nvSpPr>
            <xdr:cNvPr id="4191" name="Retângulo: Cantos Arredondados 4190">
              <a:extLst>
                <a:ext uri="{FF2B5EF4-FFF2-40B4-BE49-F238E27FC236}">
                  <a16:creationId xmlns:a16="http://schemas.microsoft.com/office/drawing/2014/main" id="{00000000-0008-0000-0000-00005F100000}"/>
                </a:ext>
              </a:extLst>
            </xdr:cNvPr>
            <xdr:cNvSpPr/>
          </xdr:nvSpPr>
          <xdr:spPr>
            <a:xfrm>
              <a:off x="5114925" y="571500"/>
              <a:ext cx="1725081" cy="285751"/>
            </a:xfrm>
            <a:prstGeom prst="roundRect">
              <a:avLst>
                <a:gd name="adj" fmla="val 16667"/>
              </a:avLst>
            </a:prstGeom>
            <a:grpFill/>
            <a:ln w="38100">
              <a:solidFill>
                <a:schemeClr val="bg2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pt-BR" sz="1100" b="1" i="1"/>
                <a:t>Pontas</a:t>
              </a:r>
              <a:r>
                <a:rPr lang="pt-BR" sz="1100" b="1" i="1" baseline="0"/>
                <a:t> de prova</a:t>
              </a:r>
              <a:endParaRPr lang="pt-BR" sz="1100" b="1" i="1"/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6" name="Check Box 14" hidden="1">
                  <a:extLst>
                    <a:ext uri="{63B3BB69-23CF-44E3-9099-C40C66FF867C}">
                      <a14:compatExt spid="_x0000_s4110"/>
                    </a:ext>
                    <a:ext uri="{FF2B5EF4-FFF2-40B4-BE49-F238E27FC236}">
                      <a16:creationId xmlns:a16="http://schemas.microsoft.com/office/drawing/2014/main" id="{00000000-0008-0000-0000-000006000000}"/>
                    </a:ext>
                  </a:extLst>
                </xdr:cNvPr>
                <xdr:cNvSpPr/>
              </xdr:nvSpPr>
              <xdr:spPr bwMode="auto">
                <a:xfrm>
                  <a:off x="5181600" y="590552"/>
                  <a:ext cx="209550" cy="238124"/>
                </a:xfrm>
                <a:prstGeom prst="rect">
                  <a:avLst/>
                </a:prstGeom>
                <a:solidFill>
                  <a:srgbClr val="000080" mc:Ignorable="a14" a14:legacySpreadsheetColorIndex="32">
                    <a:alpha val="0"/>
                  </a:srgbClr>
                </a:solidFill>
                <a:ln>
                  <a:noFill/>
                </a:ln>
                <a:extLs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</xdr:grpSp>
      <xdr:grpSp>
        <xdr:nvGrpSpPr>
          <xdr:cNvPr id="4220" name="Agrupar 4219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GrpSpPr/>
        </xdr:nvGrpSpPr>
        <xdr:grpSpPr>
          <a:xfrm>
            <a:off x="10506077" y="1114425"/>
            <a:ext cx="1418400" cy="285751"/>
            <a:chOff x="5114926" y="571500"/>
            <a:chExt cx="1726083" cy="285751"/>
          </a:xfrm>
        </xdr:grpSpPr>
        <xdr:sp macro="" textlink="">
          <xdr:nvSpPr>
            <xdr:cNvPr id="4221" name="Retângulo: Cantos Arredondados 4220">
              <a:extLst>
                <a:ext uri="{FF2B5EF4-FFF2-40B4-BE49-F238E27FC236}">
                  <a16:creationId xmlns:a16="http://schemas.microsoft.com/office/drawing/2014/main" id="{00000000-0008-0000-0000-00007D100000}"/>
                </a:ext>
              </a:extLst>
            </xdr:cNvPr>
            <xdr:cNvSpPr/>
          </xdr:nvSpPr>
          <xdr:spPr>
            <a:xfrm>
              <a:off x="5114926" y="571500"/>
              <a:ext cx="1726083" cy="285751"/>
            </a:xfrm>
            <a:prstGeom prst="roundRect">
              <a:avLst>
                <a:gd name="adj" fmla="val 16667"/>
              </a:avLst>
            </a:prstGeom>
            <a:solidFill>
              <a:schemeClr val="accent1">
                <a:lumMod val="75000"/>
              </a:schemeClr>
            </a:solidFill>
            <a:ln w="38100">
              <a:solidFill>
                <a:schemeClr val="bg2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lvl="1" algn="l"/>
              <a:r>
                <a:rPr lang="pt-BR" sz="1100" b="1" i="1"/>
                <a:t>Capacitância</a:t>
              </a: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111" name="Check Box 15" hidden="1">
                  <a:extLst>
                    <a:ext uri="{63B3BB69-23CF-44E3-9099-C40C66FF867C}">
                      <a14:compatExt spid="_x0000_s4111"/>
                    </a:ext>
                    <a:ext uri="{FF2B5EF4-FFF2-40B4-BE49-F238E27FC236}">
                      <a16:creationId xmlns:a16="http://schemas.microsoft.com/office/drawing/2014/main" id="{00000000-0008-0000-0000-00000F100000}"/>
                    </a:ext>
                  </a:extLst>
                </xdr:cNvPr>
                <xdr:cNvSpPr/>
              </xdr:nvSpPr>
              <xdr:spPr bwMode="auto">
                <a:xfrm>
                  <a:off x="5181600" y="590552"/>
                  <a:ext cx="209550" cy="238124"/>
                </a:xfrm>
                <a:prstGeom prst="rect">
                  <a:avLst/>
                </a:prstGeom>
                <a:solidFill>
                  <a:srgbClr val="000080" mc:Ignorable="a14" a14:legacySpreadsheetColorIndex="32">
                    <a:alpha val="0"/>
                  </a:srgbClr>
                </a:solidFill>
                <a:ln>
                  <a:noFill/>
                </a:ln>
                <a:extLs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</xdr:grpSp>
      <xdr:grpSp>
        <xdr:nvGrpSpPr>
          <xdr:cNvPr id="4223" name="Agrupar 422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GrpSpPr/>
        </xdr:nvGrpSpPr>
        <xdr:grpSpPr>
          <a:xfrm>
            <a:off x="10506077" y="1466850"/>
            <a:ext cx="1418400" cy="285751"/>
            <a:chOff x="5114926" y="571500"/>
            <a:chExt cx="1726083" cy="285751"/>
          </a:xfrm>
          <a:solidFill>
            <a:srgbClr val="C00000"/>
          </a:solidFill>
        </xdr:grpSpPr>
        <xdr:sp macro="" textlink="">
          <xdr:nvSpPr>
            <xdr:cNvPr id="4224" name="Retângulo: Cantos Arredondados 4223">
              <a:extLst>
                <a:ext uri="{FF2B5EF4-FFF2-40B4-BE49-F238E27FC236}">
                  <a16:creationId xmlns:a16="http://schemas.microsoft.com/office/drawing/2014/main" id="{00000000-0008-0000-0000-000080100000}"/>
                </a:ext>
              </a:extLst>
            </xdr:cNvPr>
            <xdr:cNvSpPr/>
          </xdr:nvSpPr>
          <xdr:spPr>
            <a:xfrm>
              <a:off x="5114926" y="571500"/>
              <a:ext cx="1726083" cy="285751"/>
            </a:xfrm>
            <a:prstGeom prst="roundRect">
              <a:avLst>
                <a:gd name="adj" fmla="val 16667"/>
              </a:avLst>
            </a:prstGeom>
            <a:grpFill/>
            <a:ln w="38100">
              <a:solidFill>
                <a:schemeClr val="bg2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lvl="1" algn="ctr"/>
              <a:r>
                <a:rPr lang="pt-BR" sz="1100" b="1" i="1"/>
                <a:t>Energia</a:t>
              </a: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112" name="Check Box 16" hidden="1">
                  <a:extLst>
                    <a:ext uri="{63B3BB69-23CF-44E3-9099-C40C66FF867C}">
                      <a14:compatExt spid="_x0000_s4112"/>
                    </a:ext>
                    <a:ext uri="{FF2B5EF4-FFF2-40B4-BE49-F238E27FC236}">
                      <a16:creationId xmlns:a16="http://schemas.microsoft.com/office/drawing/2014/main" id="{00000000-0008-0000-0000-000010100000}"/>
                    </a:ext>
                  </a:extLst>
                </xdr:cNvPr>
                <xdr:cNvSpPr/>
              </xdr:nvSpPr>
              <xdr:spPr bwMode="auto">
                <a:xfrm>
                  <a:off x="5181600" y="590552"/>
                  <a:ext cx="209550" cy="238124"/>
                </a:xfrm>
                <a:prstGeom prst="rect">
                  <a:avLst/>
                </a:prstGeom>
                <a:solidFill>
                  <a:srgbClr val="000080" mc:Ignorable="a14" a14:legacySpreadsheetColorIndex="32">
                    <a:alpha val="0"/>
                  </a:srgbClr>
                </a:solidFill>
                <a:ln>
                  <a:noFill/>
                </a:ln>
                <a:extLs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</xdr:grpSp>
    </xdr:grpSp>
    <xdr:clientData/>
  </xdr:twoCellAnchor>
  <xdr:twoCellAnchor>
    <xdr:from>
      <xdr:col>0</xdr:col>
      <xdr:colOff>142875</xdr:colOff>
      <xdr:row>20</xdr:row>
      <xdr:rowOff>76200</xdr:rowOff>
    </xdr:from>
    <xdr:to>
      <xdr:col>2</xdr:col>
      <xdr:colOff>257175</xdr:colOff>
      <xdr:row>21</xdr:row>
      <xdr:rowOff>161925</xdr:rowOff>
    </xdr:to>
    <xdr:sp macro="[0]!atalho_Grafico" textlink="">
      <xdr:nvSpPr>
        <xdr:cNvPr id="4114" name="Retângulo: Biselado 4113">
          <a:extLst>
            <a:ext uri="{FF2B5EF4-FFF2-40B4-BE49-F238E27FC236}">
              <a16:creationId xmlns:a16="http://schemas.microsoft.com/office/drawing/2014/main" id="{00000000-0008-0000-0000-000012100000}"/>
            </a:ext>
          </a:extLst>
        </xdr:cNvPr>
        <xdr:cNvSpPr/>
      </xdr:nvSpPr>
      <xdr:spPr>
        <a:xfrm>
          <a:off x="142875" y="4105275"/>
          <a:ext cx="1466850" cy="276225"/>
        </a:xfrm>
        <a:prstGeom prst="bevel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tx1"/>
              </a:solidFill>
            </a:rPr>
            <a:t>Ir</a:t>
          </a:r>
          <a:r>
            <a:rPr lang="pt-BR" sz="1100" b="1" baseline="0">
              <a:solidFill>
                <a:schemeClr val="tx1"/>
              </a:solidFill>
            </a:rPr>
            <a:t> para o gráfico</a:t>
          </a:r>
          <a:endParaRPr lang="pt-BR" sz="11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9</xdr:col>
      <xdr:colOff>533400</xdr:colOff>
      <xdr:row>19</xdr:row>
      <xdr:rowOff>85725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66675</xdr:colOff>
      <xdr:row>4</xdr:row>
      <xdr:rowOff>47625</xdr:rowOff>
    </xdr:from>
    <xdr:to>
      <xdr:col>18</xdr:col>
      <xdr:colOff>562275</xdr:colOff>
      <xdr:row>19</xdr:row>
      <xdr:rowOff>84525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533401</xdr:colOff>
      <xdr:row>1</xdr:row>
      <xdr:rowOff>28575</xdr:rowOff>
    </xdr:from>
    <xdr:to>
      <xdr:col>13</xdr:col>
      <xdr:colOff>285751</xdr:colOff>
      <xdr:row>3</xdr:row>
      <xdr:rowOff>47625</xdr:rowOff>
    </xdr:to>
    <xdr:sp macro="" textlink="">
      <xdr:nvSpPr>
        <xdr:cNvPr id="4" name="Retângulo: Cantos Arredondado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191001" y="219075"/>
          <a:ext cx="4019550" cy="400050"/>
        </a:xfrm>
        <a:prstGeom prst="roundRect">
          <a:avLst>
            <a:gd name="adj" fmla="val 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800" b="1" i="0" u="sng">
              <a:solidFill>
                <a:schemeClr val="bg2"/>
              </a:solidFill>
            </a:rPr>
            <a:t>Ambiente</a:t>
          </a:r>
          <a:r>
            <a:rPr lang="pt-BR" sz="1800" b="1" i="0" u="sng" baseline="0">
              <a:solidFill>
                <a:schemeClr val="bg2"/>
              </a:solidFill>
            </a:rPr>
            <a:t> gráfico: Descarga de capacitor</a:t>
          </a:r>
          <a:endParaRPr lang="pt-BR" sz="1800" b="1" i="0" u="sng">
            <a:solidFill>
              <a:schemeClr val="bg2"/>
            </a:solidFill>
          </a:endParaRPr>
        </a:p>
      </xdr:txBody>
    </xdr:sp>
    <xdr:clientData/>
  </xdr:twoCellAnchor>
  <xdr:twoCellAnchor>
    <xdr:from>
      <xdr:col>16</xdr:col>
      <xdr:colOff>485775</xdr:colOff>
      <xdr:row>23</xdr:row>
      <xdr:rowOff>38100</xdr:rowOff>
    </xdr:from>
    <xdr:to>
      <xdr:col>18</xdr:col>
      <xdr:colOff>542925</xdr:colOff>
      <xdr:row>24</xdr:row>
      <xdr:rowOff>123825</xdr:rowOff>
    </xdr:to>
    <xdr:sp macro="[0]!atalho_ambienteVirtual" textlink="">
      <xdr:nvSpPr>
        <xdr:cNvPr id="5" name="Retângulo: Biselad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0239375" y="4457700"/>
          <a:ext cx="1276350" cy="276225"/>
        </a:xfrm>
        <a:prstGeom prst="bevel">
          <a:avLst/>
        </a:prstGeom>
        <a:solidFill>
          <a:srgbClr val="00206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bg2"/>
              </a:solidFill>
            </a:rPr>
            <a:t>Ambiente virtual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104774</xdr:colOff>
      <xdr:row>6</xdr:row>
      <xdr:rowOff>23812</xdr:rowOff>
    </xdr:from>
    <xdr:to>
      <xdr:col>18</xdr:col>
      <xdr:colOff>352425</xdr:colOff>
      <xdr:row>15</xdr:row>
      <xdr:rowOff>161925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11</xdr:row>
      <xdr:rowOff>66675</xdr:rowOff>
    </xdr:from>
    <xdr:to>
      <xdr:col>1</xdr:col>
      <xdr:colOff>314325</xdr:colOff>
      <xdr:row>20</xdr:row>
      <xdr:rowOff>180975</xdr:rowOff>
    </xdr:to>
    <xdr:grpSp>
      <xdr:nvGrpSpPr>
        <xdr:cNvPr id="18" name="Agrupar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GrpSpPr/>
      </xdr:nvGrpSpPr>
      <xdr:grpSpPr>
        <a:xfrm>
          <a:off x="0" y="2247900"/>
          <a:ext cx="914400" cy="1895475"/>
          <a:chOff x="1057275" y="2190750"/>
          <a:chExt cx="914400" cy="1847850"/>
        </a:xfrm>
      </xdr:grpSpPr>
      <xdr:sp macro="" textlink="">
        <xdr:nvSpPr>
          <xdr:cNvPr id="7" name="Retângulo: Cantos Arredondados 6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1057275" y="2190750"/>
            <a:ext cx="914400" cy="1847850"/>
          </a:xfrm>
          <a:prstGeom prst="roundRect">
            <a:avLst>
              <a:gd name="adj" fmla="val 9375"/>
            </a:avLst>
          </a:prstGeom>
          <a:solidFill>
            <a:schemeClr val="accent1">
              <a:lumMod val="20000"/>
              <a:lumOff val="80000"/>
            </a:schemeClr>
          </a:solidFill>
          <a:ln w="38100"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grpSp>
        <xdr:nvGrpSpPr>
          <xdr:cNvPr id="17" name="Agrupar 16">
            <a:extLst>
              <a:ext uri="{FF2B5EF4-FFF2-40B4-BE49-F238E27FC236}">
                <a16:creationId xmlns:a16="http://schemas.microsoft.com/office/drawing/2014/main" id="{00000000-0008-0000-0200-000011000000}"/>
              </a:ext>
            </a:extLst>
          </xdr:cNvPr>
          <xdr:cNvGrpSpPr/>
        </xdr:nvGrpSpPr>
        <xdr:grpSpPr>
          <a:xfrm>
            <a:off x="1181100" y="2562225"/>
            <a:ext cx="296400" cy="1147500"/>
            <a:chOff x="3448050" y="2114550"/>
            <a:chExt cx="296400" cy="1147500"/>
          </a:xfrm>
        </xdr:grpSpPr>
        <xdr:grpSp>
          <xdr:nvGrpSpPr>
            <xdr:cNvPr id="16" name="Agrupar 15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GrpSpPr/>
          </xdr:nvGrpSpPr>
          <xdr:grpSpPr>
            <a:xfrm>
              <a:off x="3448050" y="2686050"/>
              <a:ext cx="296400" cy="576000"/>
              <a:chOff x="2686050" y="2009775"/>
              <a:chExt cx="296400" cy="1123950"/>
            </a:xfrm>
          </xdr:grpSpPr>
          <xdr:sp macro="" textlink="">
            <xdr:nvSpPr>
              <xdr:cNvPr id="8" name="Colchete Esquerdo 7">
                <a:extLst>
                  <a:ext uri="{FF2B5EF4-FFF2-40B4-BE49-F238E27FC236}">
                    <a16:creationId xmlns:a16="http://schemas.microsoft.com/office/drawing/2014/main" id="{00000000-0008-0000-0200-000008000000}"/>
                  </a:ext>
                </a:extLst>
              </xdr:cNvPr>
              <xdr:cNvSpPr/>
            </xdr:nvSpPr>
            <xdr:spPr>
              <a:xfrm>
                <a:off x="2838450" y="2009775"/>
                <a:ext cx="144000" cy="1123950"/>
              </a:xfrm>
              <a:prstGeom prst="leftBracket">
                <a:avLst>
                  <a:gd name="adj" fmla="val 0"/>
                </a:avLst>
              </a:prstGeom>
              <a:ln w="28575">
                <a:solidFill>
                  <a:srgbClr val="0070C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t-BR" sz="1100"/>
              </a:p>
            </xdr:txBody>
          </xdr:sp>
          <xdr:sp macro="" textlink="">
            <xdr:nvSpPr>
              <xdr:cNvPr id="9" name="Colchete Esquerdo 8">
                <a:extLst>
                  <a:ext uri="{FF2B5EF4-FFF2-40B4-BE49-F238E27FC236}">
                    <a16:creationId xmlns:a16="http://schemas.microsoft.com/office/drawing/2014/main" id="{00000000-0008-0000-0200-000009000000}"/>
                  </a:ext>
                </a:extLst>
              </xdr:cNvPr>
              <xdr:cNvSpPr/>
            </xdr:nvSpPr>
            <xdr:spPr>
              <a:xfrm flipH="1">
                <a:off x="2686050" y="2009775"/>
                <a:ext cx="144000" cy="1123950"/>
              </a:xfrm>
              <a:prstGeom prst="leftBracket">
                <a:avLst>
                  <a:gd name="adj" fmla="val 0"/>
                </a:avLst>
              </a:prstGeom>
              <a:ln w="28575">
                <a:solidFill>
                  <a:srgbClr val="0070C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t-BR" sz="1100"/>
              </a:p>
            </xdr:txBody>
          </xdr:sp>
        </xdr:grpSp>
        <xdr:grpSp>
          <xdr:nvGrpSpPr>
            <xdr:cNvPr id="15" name="Agrupar 14">
              <a:extLst>
                <a:ext uri="{FF2B5EF4-FFF2-40B4-BE49-F238E27FC236}">
                  <a16:creationId xmlns:a16="http://schemas.microsoft.com/office/drawing/2014/main" id="{00000000-0008-0000-0200-00000F000000}"/>
                </a:ext>
              </a:extLst>
            </xdr:cNvPr>
            <xdr:cNvGrpSpPr/>
          </xdr:nvGrpSpPr>
          <xdr:grpSpPr>
            <a:xfrm>
              <a:off x="3448050" y="2114550"/>
              <a:ext cx="296400" cy="576000"/>
              <a:chOff x="3448050" y="2114550"/>
              <a:chExt cx="296400" cy="576000"/>
            </a:xfrm>
          </xdr:grpSpPr>
          <xdr:sp macro="" textlink="">
            <xdr:nvSpPr>
              <xdr:cNvPr id="10" name="Colchete Esquerdo 9">
                <a:extLst>
                  <a:ext uri="{FF2B5EF4-FFF2-40B4-BE49-F238E27FC236}">
                    <a16:creationId xmlns:a16="http://schemas.microsoft.com/office/drawing/2014/main" id="{00000000-0008-0000-0200-00000A000000}"/>
                  </a:ext>
                </a:extLst>
              </xdr:cNvPr>
              <xdr:cNvSpPr/>
            </xdr:nvSpPr>
            <xdr:spPr>
              <a:xfrm>
                <a:off x="3600450" y="2114550"/>
                <a:ext cx="144000" cy="576000"/>
              </a:xfrm>
              <a:prstGeom prst="leftBracket">
                <a:avLst>
                  <a:gd name="adj" fmla="val 0"/>
                </a:avLst>
              </a:prstGeom>
              <a:ln w="28575">
                <a:solidFill>
                  <a:srgbClr val="0070C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t-BR" sz="1100"/>
              </a:p>
            </xdr:txBody>
          </xdr:sp>
          <xdr:sp macro="" textlink="">
            <xdr:nvSpPr>
              <xdr:cNvPr id="14" name="Colchete Esquerdo 13">
                <a:extLst>
                  <a:ext uri="{FF2B5EF4-FFF2-40B4-BE49-F238E27FC236}">
                    <a16:creationId xmlns:a16="http://schemas.microsoft.com/office/drawing/2014/main" id="{00000000-0008-0000-0200-00000E000000}"/>
                  </a:ext>
                </a:extLst>
              </xdr:cNvPr>
              <xdr:cNvSpPr/>
            </xdr:nvSpPr>
            <xdr:spPr>
              <a:xfrm flipH="1">
                <a:off x="3448050" y="2114550"/>
                <a:ext cx="144000" cy="576000"/>
              </a:xfrm>
              <a:prstGeom prst="leftBracket">
                <a:avLst>
                  <a:gd name="adj" fmla="val 0"/>
                </a:avLst>
              </a:prstGeom>
              <a:ln w="28575">
                <a:solidFill>
                  <a:srgbClr val="0070C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t-BR" sz="1100"/>
              </a:p>
            </xdr:txBody>
          </xdr:sp>
        </xdr:grpSp>
      </xdr:grpSp>
    </xdr:grpSp>
    <xdr:clientData/>
  </xdr:twoCellAnchor>
  <xdr:twoCellAnchor>
    <xdr:from>
      <xdr:col>25</xdr:col>
      <xdr:colOff>171451</xdr:colOff>
      <xdr:row>6</xdr:row>
      <xdr:rowOff>66675</xdr:rowOff>
    </xdr:from>
    <xdr:to>
      <xdr:col>26</xdr:col>
      <xdr:colOff>361951</xdr:colOff>
      <xdr:row>13</xdr:row>
      <xdr:rowOff>185736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333375</xdr:colOff>
      <xdr:row>35</xdr:row>
      <xdr:rowOff>38101</xdr:rowOff>
    </xdr:from>
    <xdr:to>
      <xdr:col>17</xdr:col>
      <xdr:colOff>304801</xdr:colOff>
      <xdr:row>39</xdr:row>
      <xdr:rowOff>171450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295275</xdr:colOff>
      <xdr:row>36</xdr:row>
      <xdr:rowOff>28575</xdr:rowOff>
    </xdr:from>
    <xdr:to>
      <xdr:col>15</xdr:col>
      <xdr:colOff>9525</xdr:colOff>
      <xdr:row>39</xdr:row>
      <xdr:rowOff>190500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238125</xdr:colOff>
      <xdr:row>37</xdr:row>
      <xdr:rowOff>166687</xdr:rowOff>
    </xdr:from>
    <xdr:to>
      <xdr:col>23</xdr:col>
      <xdr:colOff>371475</xdr:colOff>
      <xdr:row>47</xdr:row>
      <xdr:rowOff>133350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95250</xdr:colOff>
      <xdr:row>78</xdr:row>
      <xdr:rowOff>80962</xdr:rowOff>
    </xdr:from>
    <xdr:to>
      <xdr:col>14</xdr:col>
      <xdr:colOff>828675</xdr:colOff>
      <xdr:row>92</xdr:row>
      <xdr:rowOff>128587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277089</xdr:colOff>
      <xdr:row>57</xdr:row>
      <xdr:rowOff>19050</xdr:rowOff>
    </xdr:from>
    <xdr:to>
      <xdr:col>21</xdr:col>
      <xdr:colOff>523874</xdr:colOff>
      <xdr:row>64</xdr:row>
      <xdr:rowOff>123825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86</xdr:col>
      <xdr:colOff>409575</xdr:colOff>
      <xdr:row>11</xdr:row>
      <xdr:rowOff>123825</xdr:rowOff>
    </xdr:from>
    <xdr:to>
      <xdr:col>94</xdr:col>
      <xdr:colOff>104775</xdr:colOff>
      <xdr:row>15</xdr:row>
      <xdr:rowOff>1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85</xdr:col>
      <xdr:colOff>323850</xdr:colOff>
      <xdr:row>32</xdr:row>
      <xdr:rowOff>71437</xdr:rowOff>
    </xdr:from>
    <xdr:to>
      <xdr:col>91</xdr:col>
      <xdr:colOff>323850</xdr:colOff>
      <xdr:row>46</xdr:row>
      <xdr:rowOff>14287</xdr:rowOff>
    </xdr:to>
    <xdr:graphicFrame macro="">
      <xdr:nvGraphicFramePr>
        <xdr:cNvPr id="20" name="Gráfico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92</xdr:col>
      <xdr:colOff>457200</xdr:colOff>
      <xdr:row>32</xdr:row>
      <xdr:rowOff>147637</xdr:rowOff>
    </xdr:from>
    <xdr:to>
      <xdr:col>100</xdr:col>
      <xdr:colOff>152400</xdr:colOff>
      <xdr:row>46</xdr:row>
      <xdr:rowOff>90487</xdr:rowOff>
    </xdr:to>
    <xdr:graphicFrame macro="">
      <xdr:nvGraphicFramePr>
        <xdr:cNvPr id="22" name="Gráfico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86</xdr:col>
      <xdr:colOff>0</xdr:colOff>
      <xdr:row>47</xdr:row>
      <xdr:rowOff>0</xdr:rowOff>
    </xdr:from>
    <xdr:to>
      <xdr:col>92</xdr:col>
      <xdr:colOff>0</xdr:colOff>
      <xdr:row>60</xdr:row>
      <xdr:rowOff>142875</xdr:rowOff>
    </xdr:to>
    <xdr:graphicFrame macro="">
      <xdr:nvGraphicFramePr>
        <xdr:cNvPr id="23" name="Gráfico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97</xdr:col>
      <xdr:colOff>228600</xdr:colOff>
      <xdr:row>19</xdr:row>
      <xdr:rowOff>104775</xdr:rowOff>
    </xdr:from>
    <xdr:to>
      <xdr:col>104</xdr:col>
      <xdr:colOff>47625</xdr:colOff>
      <xdr:row>22</xdr:row>
      <xdr:rowOff>161926</xdr:rowOff>
    </xdr:to>
    <xdr:graphicFrame macro="">
      <xdr:nvGraphicFramePr>
        <xdr:cNvPr id="24" name="Gráfico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19</xdr:col>
      <xdr:colOff>200026</xdr:colOff>
      <xdr:row>105</xdr:row>
      <xdr:rowOff>95251</xdr:rowOff>
    </xdr:from>
    <xdr:to>
      <xdr:col>23</xdr:col>
      <xdr:colOff>542925</xdr:colOff>
      <xdr:row>121</xdr:row>
      <xdr:rowOff>123825</xdr:rowOff>
    </xdr:to>
    <xdr:graphicFrame macro="">
      <xdr:nvGraphicFramePr>
        <xdr:cNvPr id="19" name="Gráfico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</xdr:col>
      <xdr:colOff>180975</xdr:colOff>
      <xdr:row>125</xdr:row>
      <xdr:rowOff>180975</xdr:rowOff>
    </xdr:from>
    <xdr:to>
      <xdr:col>4</xdr:col>
      <xdr:colOff>371475</xdr:colOff>
      <xdr:row>132</xdr:row>
      <xdr:rowOff>133355</xdr:rowOff>
    </xdr:to>
    <xdr:grpSp>
      <xdr:nvGrpSpPr>
        <xdr:cNvPr id="26" name="Agrupar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GrpSpPr/>
      </xdr:nvGrpSpPr>
      <xdr:grpSpPr>
        <a:xfrm>
          <a:off x="1714500" y="24907875"/>
          <a:ext cx="2219325" cy="1304930"/>
          <a:chOff x="5476875" y="24641175"/>
          <a:chExt cx="2219325" cy="1304930"/>
        </a:xfrm>
      </xdr:grpSpPr>
      <xdr:graphicFrame macro="">
        <xdr:nvGraphicFramePr>
          <xdr:cNvPr id="21" name="Gráfico 20">
            <a:extLst>
              <a:ext uri="{FF2B5EF4-FFF2-40B4-BE49-F238E27FC236}">
                <a16:creationId xmlns:a16="http://schemas.microsoft.com/office/drawing/2014/main" id="{00000000-0008-0000-0200-000015000000}"/>
              </a:ext>
            </a:extLst>
          </xdr:cNvPr>
          <xdr:cNvGraphicFramePr/>
        </xdr:nvGraphicFramePr>
        <xdr:xfrm>
          <a:off x="5476875" y="24641175"/>
          <a:ext cx="2219325" cy="128587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4"/>
          </a:graphicData>
        </a:graphic>
      </xdr:graphicFrame>
      <xdr:pic>
        <xdr:nvPicPr>
          <xdr:cNvPr id="25" name="Imagem 24">
            <a:extLst>
              <a:ext uri="{FF2B5EF4-FFF2-40B4-BE49-F238E27FC236}">
                <a16:creationId xmlns:a16="http://schemas.microsoft.com/office/drawing/2014/main" id="{00000000-0008-0000-02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alphaModFix/>
            <a:extLst>
              <a:ext uri="{BEBA8EAE-BF5A-486C-A8C5-ECC9F3942E4B}">
                <a14:imgProps xmlns:a14="http://schemas.microsoft.com/office/drawing/2010/main">
                  <a14:imgLayer r:embed="rId16">
                    <a14:imgEffect>
                      <a14:saturation sat="51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5400000">
            <a:off x="5795964" y="24569745"/>
            <a:ext cx="1209671" cy="1543050"/>
          </a:xfrm>
          <a:prstGeom prst="rect">
            <a:avLst/>
          </a:prstGeom>
        </xdr:spPr>
      </xdr:pic>
    </xdr:grpSp>
    <xdr:clientData/>
  </xdr:twoCellAnchor>
  <xdr:twoCellAnchor>
    <xdr:from>
      <xdr:col>102</xdr:col>
      <xdr:colOff>0</xdr:colOff>
      <xdr:row>25</xdr:row>
      <xdr:rowOff>0</xdr:rowOff>
    </xdr:from>
    <xdr:to>
      <xdr:col>105</xdr:col>
      <xdr:colOff>76200</xdr:colOff>
      <xdr:row>31</xdr:row>
      <xdr:rowOff>180973</xdr:rowOff>
    </xdr:to>
    <xdr:grpSp>
      <xdr:nvGrpSpPr>
        <xdr:cNvPr id="27" name="Agrupar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GrpSpPr/>
      </xdr:nvGrpSpPr>
      <xdr:grpSpPr>
        <a:xfrm>
          <a:off x="74742675" y="4962525"/>
          <a:ext cx="1905000" cy="1381123"/>
          <a:chOff x="4914901" y="5934075"/>
          <a:chExt cx="1905000" cy="1437114"/>
        </a:xfrm>
      </xdr:grpSpPr>
      <xdr:cxnSp macro="">
        <xdr:nvCxnSpPr>
          <xdr:cNvPr id="28" name="Conector reto 27"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CxnSpPr/>
        </xdr:nvCxnSpPr>
        <xdr:spPr>
          <a:xfrm>
            <a:off x="5248275" y="6360254"/>
            <a:ext cx="3" cy="830448"/>
          </a:xfrm>
          <a:prstGeom prst="line">
            <a:avLst/>
          </a:prstGeom>
          <a:ln w="19050">
            <a:solidFill>
              <a:schemeClr val="bg2">
                <a:lumMod val="75000"/>
              </a:schemeClr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9" name="Conector reto 28">
            <a:extLst>
              <a:ext uri="{FF2B5EF4-FFF2-40B4-BE49-F238E27FC236}">
                <a16:creationId xmlns:a16="http://schemas.microsoft.com/office/drawing/2014/main" id="{00000000-0008-0000-0200-00001D000000}"/>
              </a:ext>
            </a:extLst>
          </xdr:cNvPr>
          <xdr:cNvCxnSpPr/>
        </xdr:nvCxnSpPr>
        <xdr:spPr>
          <a:xfrm>
            <a:off x="5124450" y="7044121"/>
            <a:ext cx="1533492" cy="11639"/>
          </a:xfrm>
          <a:prstGeom prst="line">
            <a:avLst/>
          </a:prstGeom>
          <a:ln w="19050">
            <a:solidFill>
              <a:schemeClr val="bg2">
                <a:lumMod val="75000"/>
              </a:schemeClr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grpSp>
        <xdr:nvGrpSpPr>
          <xdr:cNvPr id="30" name="Agrupar 29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GrpSpPr/>
        </xdr:nvGrpSpPr>
        <xdr:grpSpPr>
          <a:xfrm>
            <a:off x="4914901" y="5934075"/>
            <a:ext cx="1905000" cy="1437114"/>
            <a:chOff x="5038726" y="4448175"/>
            <a:chExt cx="1905000" cy="1437114"/>
          </a:xfrm>
        </xdr:grpSpPr>
        <xdr:grpSp>
          <xdr:nvGrpSpPr>
            <xdr:cNvPr id="31" name="Agrupar 30">
              <a:extLst>
                <a:ext uri="{FF2B5EF4-FFF2-40B4-BE49-F238E27FC236}">
                  <a16:creationId xmlns:a16="http://schemas.microsoft.com/office/drawing/2014/main" id="{00000000-0008-0000-0200-00001F000000}"/>
                </a:ext>
              </a:extLst>
            </xdr:cNvPr>
            <xdr:cNvGrpSpPr/>
          </xdr:nvGrpSpPr>
          <xdr:grpSpPr>
            <a:xfrm>
              <a:off x="5038726" y="4637130"/>
              <a:ext cx="1905000" cy="1248159"/>
              <a:chOff x="5038727" y="4637130"/>
              <a:chExt cx="1905000" cy="1248159"/>
            </a:xfrm>
          </xdr:grpSpPr>
          <xdr:graphicFrame macro="">
            <xdr:nvGraphicFramePr>
              <xdr:cNvPr id="33" name="Gráfico 32">
                <a:extLst>
                  <a:ext uri="{FF2B5EF4-FFF2-40B4-BE49-F238E27FC236}">
                    <a16:creationId xmlns:a16="http://schemas.microsoft.com/office/drawing/2014/main" id="{00000000-0008-0000-0200-000021000000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5038727" y="4637130"/>
              <a:ext cx="1905000" cy="1238251"/>
            </xdr:xfrm>
            <a:graphic>
              <a:graphicData uri="http://schemas.openxmlformats.org/drawingml/2006/chart">
                <c:chart xmlns:c="http://schemas.openxmlformats.org/drawingml/2006/chart" xmlns:r="http://schemas.openxmlformats.org/officeDocument/2006/relationships" r:id="rId17"/>
              </a:graphicData>
            </a:graphic>
          </xdr:graphicFrame>
          <xdr:sp macro="" textlink="">
            <xdr:nvSpPr>
              <xdr:cNvPr id="34" name="Quadro 33">
                <a:extLst>
                  <a:ext uri="{FF2B5EF4-FFF2-40B4-BE49-F238E27FC236}">
                    <a16:creationId xmlns:a16="http://schemas.microsoft.com/office/drawing/2014/main" id="{00000000-0008-0000-0200-000022000000}"/>
                  </a:ext>
                </a:extLst>
              </xdr:cNvPr>
              <xdr:cNvSpPr/>
            </xdr:nvSpPr>
            <xdr:spPr>
              <a:xfrm>
                <a:off x="5086350" y="4743448"/>
                <a:ext cx="1828800" cy="1141841"/>
              </a:xfrm>
              <a:prstGeom prst="frame">
                <a:avLst>
                  <a:gd name="adj1" fmla="val 3222"/>
                </a:avLst>
              </a:prstGeom>
              <a:solidFill>
                <a:srgbClr val="FF7C80"/>
              </a:solidFill>
              <a:ln w="19050">
                <a:solidFill>
                  <a:srgbClr val="C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t-BR" sz="1100">
                  <a:solidFill>
                    <a:schemeClr val="tx1"/>
                  </a:solidFill>
                </a:endParaRPr>
              </a:p>
            </xdr:txBody>
          </xdr:sp>
        </xdr:grpSp>
        <xdr:sp macro="" textlink="">
          <xdr:nvSpPr>
            <xdr:cNvPr id="32" name="Retângulo 31">
              <a:extLst>
                <a:ext uri="{FF2B5EF4-FFF2-40B4-BE49-F238E27FC236}">
                  <a16:creationId xmlns:a16="http://schemas.microsoft.com/office/drawing/2014/main" id="{00000000-0008-0000-0200-000020000000}"/>
                </a:ext>
              </a:extLst>
            </xdr:cNvPr>
            <xdr:cNvSpPr/>
          </xdr:nvSpPr>
          <xdr:spPr>
            <a:xfrm>
              <a:off x="5086352" y="4448175"/>
              <a:ext cx="1819274" cy="276225"/>
            </a:xfrm>
            <a:prstGeom prst="rect">
              <a:avLst/>
            </a:prstGeom>
            <a:solidFill>
              <a:srgbClr val="FF7C80"/>
            </a:solidFill>
            <a:ln w="28575">
              <a:solidFill>
                <a:srgbClr val="C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pt-BR" sz="1200" b="1" i="1"/>
                <a:t>Energia de</a:t>
              </a:r>
              <a:r>
                <a:rPr lang="pt-BR" sz="1200" b="1" i="1" baseline="0"/>
                <a:t> descarga</a:t>
              </a:r>
              <a:endParaRPr lang="pt-BR" sz="1200" b="1" i="1"/>
            </a:p>
          </xdr:txBody>
        </xdr:sp>
      </xdr:grpSp>
    </xdr:grpSp>
    <xdr:clientData/>
  </xdr:twoCellAnchor>
  <xdr:twoCellAnchor>
    <xdr:from>
      <xdr:col>108</xdr:col>
      <xdr:colOff>419100</xdr:colOff>
      <xdr:row>33</xdr:row>
      <xdr:rowOff>19050</xdr:rowOff>
    </xdr:from>
    <xdr:to>
      <xdr:col>114</xdr:col>
      <xdr:colOff>571500</xdr:colOff>
      <xdr:row>46</xdr:row>
      <xdr:rowOff>161925</xdr:rowOff>
    </xdr:to>
    <xdr:graphicFrame macro="">
      <xdr:nvGraphicFramePr>
        <xdr:cNvPr id="35" name="Gráfico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115</xdr:col>
      <xdr:colOff>304800</xdr:colOff>
      <xdr:row>33</xdr:row>
      <xdr:rowOff>142875</xdr:rowOff>
    </xdr:from>
    <xdr:to>
      <xdr:col>123</xdr:col>
      <xdr:colOff>0</xdr:colOff>
      <xdr:row>47</xdr:row>
      <xdr:rowOff>85725</xdr:rowOff>
    </xdr:to>
    <xdr:graphicFrame macro="">
      <xdr:nvGraphicFramePr>
        <xdr:cNvPr id="36" name="Gráfico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116</xdr:col>
      <xdr:colOff>85725</xdr:colOff>
      <xdr:row>2</xdr:row>
      <xdr:rowOff>95250</xdr:rowOff>
    </xdr:from>
    <xdr:to>
      <xdr:col>123</xdr:col>
      <xdr:colOff>390525</xdr:colOff>
      <xdr:row>16</xdr:row>
      <xdr:rowOff>57150</xdr:rowOff>
    </xdr:to>
    <xdr:graphicFrame macro="">
      <xdr:nvGraphicFramePr>
        <xdr:cNvPr id="38" name="Gráfico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73827-2D5C-426D-A7F7-2FE5FDF2F3F3}">
  <sheetPr codeName="Planilha3"/>
  <dimension ref="A1:AJ71"/>
  <sheetViews>
    <sheetView showGridLines="0" showRowColHeaders="0" tabSelected="1" zoomScaleNormal="100" workbookViewId="0">
      <selection activeCell="R10" sqref="R10"/>
    </sheetView>
  </sheetViews>
  <sheetFormatPr defaultRowHeight="15" x14ac:dyDescent="0.25"/>
  <cols>
    <col min="1" max="1" width="9" bestFit="1" customWidth="1"/>
    <col min="2" max="2" width="11.28515625" customWidth="1"/>
    <col min="3" max="3" width="9.7109375" customWidth="1"/>
    <col min="4" max="4" width="9.140625" customWidth="1"/>
    <col min="8" max="8" width="11" bestFit="1" customWidth="1"/>
    <col min="10" max="11" width="9.140625" customWidth="1"/>
  </cols>
  <sheetData>
    <row r="1" spans="1:36" x14ac:dyDescent="0.25">
      <c r="A1" s="149" t="s">
        <v>0</v>
      </c>
      <c r="B1" s="150">
        <v>1.8518518518518518E-4</v>
      </c>
      <c r="C1" s="151">
        <v>0</v>
      </c>
      <c r="D1" s="151">
        <f>VALUE(C1)</f>
        <v>0</v>
      </c>
      <c r="E1" s="152" t="b">
        <v>0</v>
      </c>
      <c r="F1" s="151" t="s">
        <v>194</v>
      </c>
      <c r="G1" s="153"/>
      <c r="H1" s="153"/>
      <c r="I1" s="155" t="b">
        <v>0</v>
      </c>
      <c r="J1" s="155" t="b">
        <v>0</v>
      </c>
      <c r="K1" s="155" t="b">
        <v>0</v>
      </c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</row>
    <row r="2" spans="1:36" ht="32.25" customHeight="1" x14ac:dyDescent="0.25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</row>
    <row r="3" spans="1:36" x14ac:dyDescent="0.25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x14ac:dyDescent="0.25">
      <c r="A4" s="148" t="s">
        <v>1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x14ac:dyDescent="0.25">
      <c r="A5" s="153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x14ac:dyDescent="0.25">
      <c r="A6" s="153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x14ac:dyDescent="0.25">
      <c r="A7" s="153"/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x14ac:dyDescent="0.25">
      <c r="A8" s="153"/>
      <c r="B8" s="153"/>
      <c r="C8" s="153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x14ac:dyDescent="0.25">
      <c r="A9" s="153"/>
      <c r="B9" s="153"/>
      <c r="C9" s="153"/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</row>
    <row r="10" spans="1:36" x14ac:dyDescent="0.25">
      <c r="A10" s="153"/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7" t="s">
        <v>2</v>
      </c>
      <c r="S10" s="153"/>
      <c r="T10" s="153"/>
      <c r="U10" s="153"/>
      <c r="V10" s="153"/>
      <c r="W10" s="153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</row>
    <row r="11" spans="1:36" x14ac:dyDescent="0.25">
      <c r="A11" s="153"/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</row>
    <row r="12" spans="1:36" x14ac:dyDescent="0.25">
      <c r="A12" s="153"/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</row>
    <row r="13" spans="1:36" x14ac:dyDescent="0.25">
      <c r="A13" s="153"/>
      <c r="B13" s="153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</row>
    <row r="14" spans="1:36" x14ac:dyDescent="0.25">
      <c r="A14" s="153"/>
      <c r="B14" s="153"/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</row>
    <row r="15" spans="1:36" x14ac:dyDescent="0.25">
      <c r="A15" s="153"/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</row>
    <row r="16" spans="1:36" x14ac:dyDescent="0.25">
      <c r="A16" s="153"/>
      <c r="B16" s="153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53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</row>
    <row r="17" spans="1:36" x14ac:dyDescent="0.25">
      <c r="A17" s="153"/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</row>
    <row r="18" spans="1:36" x14ac:dyDescent="0.25">
      <c r="A18" s="151"/>
      <c r="B18" s="151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53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</row>
    <row r="19" spans="1:36" x14ac:dyDescent="0.25">
      <c r="A19" s="151"/>
      <c r="B19" s="151"/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53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</row>
    <row r="20" spans="1:36" x14ac:dyDescent="0.25">
      <c r="A20" s="148">
        <v>0</v>
      </c>
      <c r="B20" s="151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</row>
    <row r="21" spans="1:36" x14ac:dyDescent="0.25">
      <c r="A21" s="151"/>
      <c r="B21" s="151"/>
      <c r="C21" s="153"/>
      <c r="D21" s="153"/>
      <c r="E21" s="153"/>
      <c r="F21" s="153"/>
      <c r="G21" s="153"/>
      <c r="H21" s="153"/>
      <c r="I21" s="153" t="s">
        <v>2</v>
      </c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</row>
    <row r="22" spans="1:36" x14ac:dyDescent="0.25">
      <c r="A22" s="151"/>
      <c r="B22" s="151"/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  <c r="O22" s="153"/>
      <c r="P22" s="153"/>
      <c r="Q22" s="153"/>
      <c r="R22" s="153"/>
      <c r="S22" s="153"/>
      <c r="T22" s="153"/>
      <c r="U22" s="153"/>
      <c r="V22" s="153"/>
      <c r="W22" s="153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</row>
    <row r="23" spans="1:36" x14ac:dyDescent="0.25">
      <c r="A23" s="151"/>
      <c r="B23" s="151"/>
      <c r="C23" s="153"/>
      <c r="D23" s="153"/>
      <c r="E23" s="153"/>
      <c r="F23" s="153"/>
      <c r="G23" s="153"/>
      <c r="H23" s="153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53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</row>
    <row r="24" spans="1:36" x14ac:dyDescent="0.25">
      <c r="A24" s="153"/>
      <c r="B24" s="153"/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3"/>
      <c r="W24" s="153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</row>
    <row r="25" spans="1:36" x14ac:dyDescent="0.25">
      <c r="A25" s="153"/>
      <c r="B25" s="153"/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</row>
    <row r="26" spans="1:36" x14ac:dyDescent="0.25">
      <c r="A26" s="153"/>
      <c r="B26" s="153"/>
      <c r="C26" s="153"/>
      <c r="D26" s="154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</row>
    <row r="27" spans="1:36" x14ac:dyDescent="0.25">
      <c r="A27" s="153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53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</row>
    <row r="28" spans="1:36" x14ac:dyDescent="0.25">
      <c r="A28" s="153"/>
      <c r="B28" s="153"/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</row>
    <row r="29" spans="1:36" ht="19.5" x14ac:dyDescent="0.45">
      <c r="A29" s="153"/>
      <c r="B29" s="153"/>
      <c r="C29" s="153"/>
      <c r="D29" s="156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153"/>
      <c r="P29" s="153"/>
      <c r="Q29" s="153"/>
      <c r="R29" s="153"/>
      <c r="S29" s="153"/>
      <c r="T29" s="153"/>
      <c r="U29" s="153"/>
      <c r="V29" s="153"/>
      <c r="W29" s="153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</row>
    <row r="30" spans="1:36" x14ac:dyDescent="0.25">
      <c r="A30" s="153"/>
      <c r="B30" s="153"/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</row>
    <row r="31" spans="1:36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</row>
    <row r="32" spans="1:36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</row>
    <row r="33" spans="1:36" x14ac:dyDescent="0.2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</row>
    <row r="34" spans="1:36" x14ac:dyDescent="0.25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</row>
    <row r="35" spans="1:36" x14ac:dyDescent="0.2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</row>
    <row r="36" spans="1:36" x14ac:dyDescent="0.25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</row>
    <row r="37" spans="1:36" x14ac:dyDescent="0.25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</row>
    <row r="38" spans="1:36" x14ac:dyDescent="0.25">
      <c r="A38" s="40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</row>
    <row r="39" spans="1:36" x14ac:dyDescent="0.25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</row>
    <row r="40" spans="1:36" x14ac:dyDescent="0.25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</row>
    <row r="41" spans="1:36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</row>
    <row r="42" spans="1:36" x14ac:dyDescent="0.25">
      <c r="A42" s="40"/>
      <c r="B42" s="40"/>
      <c r="C42" s="40"/>
      <c r="D42" s="40"/>
      <c r="E42" s="40"/>
      <c r="F42" s="40"/>
      <c r="G42" s="40"/>
      <c r="H42" s="40" t="s">
        <v>2</v>
      </c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</row>
    <row r="43" spans="1:36" x14ac:dyDescent="0.2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</row>
    <row r="44" spans="1:36" x14ac:dyDescent="0.25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</row>
    <row r="45" spans="1:36" x14ac:dyDescent="0.25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</row>
    <row r="46" spans="1:36" x14ac:dyDescent="0.25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</row>
    <row r="47" spans="1:36" x14ac:dyDescent="0.25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</row>
    <row r="48" spans="1:36" x14ac:dyDescent="0.25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</row>
    <row r="49" spans="1:36" x14ac:dyDescent="0.25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</row>
    <row r="50" spans="1:36" x14ac:dyDescent="0.25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</row>
    <row r="51" spans="1:36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</row>
    <row r="52" spans="1:36" x14ac:dyDescent="0.25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</row>
    <row r="53" spans="1:36" x14ac:dyDescent="0.25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</row>
    <row r="54" spans="1:36" x14ac:dyDescent="0.25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</row>
    <row r="55" spans="1:36" x14ac:dyDescent="0.25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</row>
    <row r="56" spans="1:36" x14ac:dyDescent="0.25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</row>
    <row r="57" spans="1:36" x14ac:dyDescent="0.25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</row>
    <row r="58" spans="1:36" x14ac:dyDescent="0.25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</row>
    <row r="59" spans="1:36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</row>
    <row r="60" spans="1:36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</row>
    <row r="61" spans="1:36" x14ac:dyDescent="0.25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</row>
    <row r="62" spans="1:36" x14ac:dyDescent="0.25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</row>
    <row r="63" spans="1:36" x14ac:dyDescent="0.25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</row>
    <row r="64" spans="1:36" x14ac:dyDescent="0.25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</row>
    <row r="65" spans="1:36" x14ac:dyDescent="0.25">
      <c r="A65" s="40"/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</row>
    <row r="66" spans="1:36" x14ac:dyDescent="0.25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</row>
    <row r="67" spans="1:36" x14ac:dyDescent="0.25">
      <c r="A67" s="40"/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</row>
    <row r="68" spans="1:36" x14ac:dyDescent="0.25">
      <c r="A68" s="40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</row>
    <row r="69" spans="1:36" x14ac:dyDescent="0.25">
      <c r="A69" s="40"/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</row>
    <row r="70" spans="1:36" x14ac:dyDescent="0.25">
      <c r="A70" s="40"/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</row>
    <row r="71" spans="1:36" x14ac:dyDescent="0.25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</row>
  </sheetData>
  <sheetProtection algorithmName="SHA-512" hashValue="Z83Qncr8sU1M3QbV7WvmsEY184Jtw3LtaugDyrTbn/gOF3sqMwoDEuAgYO0lWVKFkQwZProhHF6jUp1IqSXLYw==" saltValue="D4bOBS44LZOwqPYPrbySUA==" spinCount="100000" sheet="1" objects="1" selectLockedCells="1" pivotTables="0" selectUnlockedCells="1"/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5" r:id="rId4" name="Scroll Bar 9">
              <controlPr defaultSize="0" autoPict="0">
                <anchor moveWithCells="1">
                  <from>
                    <xdr:col>1</xdr:col>
                    <xdr:colOff>57150</xdr:colOff>
                    <xdr:row>6</xdr:row>
                    <xdr:rowOff>85725</xdr:rowOff>
                  </from>
                  <to>
                    <xdr:col>1</xdr:col>
                    <xdr:colOff>247650</xdr:colOff>
                    <xdr:row>15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5" name="Scroll Bar 10">
              <controlPr defaultSize="0" autoPict="0">
                <anchor moveWithCells="1">
                  <from>
                    <xdr:col>4</xdr:col>
                    <xdr:colOff>304800</xdr:colOff>
                    <xdr:row>6</xdr:row>
                    <xdr:rowOff>142875</xdr:rowOff>
                  </from>
                  <to>
                    <xdr:col>4</xdr:col>
                    <xdr:colOff>504825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6" name="Check Box 13">
              <controlPr defaultSize="0" autoFill="0" autoLine="0" autoPict="0">
                <anchor moveWithCells="1">
                  <from>
                    <xdr:col>16</xdr:col>
                    <xdr:colOff>476250</xdr:colOff>
                    <xdr:row>2</xdr:row>
                    <xdr:rowOff>104775</xdr:rowOff>
                  </from>
                  <to>
                    <xdr:col>17</xdr:col>
                    <xdr:colOff>38100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" r:id="rId7" name="Check Box 14">
              <controlPr defaultSize="0" autoFill="0" autoLine="0" autoPict="0">
                <anchor moveWithCells="1">
                  <from>
                    <xdr:col>16</xdr:col>
                    <xdr:colOff>466725</xdr:colOff>
                    <xdr:row>1</xdr:row>
                    <xdr:rowOff>161925</xdr:rowOff>
                  </from>
                  <to>
                    <xdr:col>17</xdr:col>
                    <xdr:colOff>28575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8" name="Check Box 15">
              <controlPr defaultSize="0" autoFill="0" autoLine="0" autoPict="0">
                <anchor moveWithCells="1">
                  <from>
                    <xdr:col>16</xdr:col>
                    <xdr:colOff>485775</xdr:colOff>
                    <xdr:row>4</xdr:row>
                    <xdr:rowOff>76200</xdr:rowOff>
                  </from>
                  <to>
                    <xdr:col>17</xdr:col>
                    <xdr:colOff>47625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9" name="Check Box 16">
              <controlPr defaultSize="0" autoFill="0" autoLine="0" autoPict="0">
                <anchor moveWithCells="1">
                  <from>
                    <xdr:col>16</xdr:col>
                    <xdr:colOff>485775</xdr:colOff>
                    <xdr:row>6</xdr:row>
                    <xdr:rowOff>47625</xdr:rowOff>
                  </from>
                  <to>
                    <xdr:col>17</xdr:col>
                    <xdr:colOff>47625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" r:id="rId10" name="Scroll Bar 22">
              <controlPr defaultSize="0" autoPict="0" macro="[0]!descarga_chave">
                <anchor moveWithCells="1">
                  <from>
                    <xdr:col>5</xdr:col>
                    <xdr:colOff>142875</xdr:colOff>
                    <xdr:row>19</xdr:row>
                    <xdr:rowOff>66675</xdr:rowOff>
                  </from>
                  <to>
                    <xdr:col>7</xdr:col>
                    <xdr:colOff>361950</xdr:colOff>
                    <xdr:row>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1F4FE-9DD0-482C-8108-922E2AD565A3}">
  <sheetPr codeName="Planilha2"/>
  <dimension ref="A1:AM202"/>
  <sheetViews>
    <sheetView showGridLines="0" showRowColHeaders="0" workbookViewId="0">
      <selection activeCell="N10" sqref="N10"/>
    </sheetView>
  </sheetViews>
  <sheetFormatPr defaultRowHeight="15" x14ac:dyDescent="0.25"/>
  <sheetData>
    <row r="1" spans="1:39" x14ac:dyDescent="0.25">
      <c r="A1" s="158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</row>
    <row r="2" spans="1:39" x14ac:dyDescent="0.25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</row>
    <row r="3" spans="1:39" x14ac:dyDescent="0.25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</row>
    <row r="4" spans="1:39" ht="15.75" thickBo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</row>
    <row r="5" spans="1:39" x14ac:dyDescent="0.25">
      <c r="A5" s="141"/>
      <c r="B5" s="141"/>
      <c r="C5" s="51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135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</row>
    <row r="6" spans="1:39" x14ac:dyDescent="0.25">
      <c r="A6" s="141"/>
      <c r="B6" s="141"/>
      <c r="C6" s="136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137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K6" s="141"/>
      <c r="AL6" s="141"/>
      <c r="AM6" s="141"/>
    </row>
    <row r="7" spans="1:39" x14ac:dyDescent="0.25">
      <c r="A7" s="141"/>
      <c r="B7" s="141"/>
      <c r="C7" s="136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137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  <c r="AE7" s="141"/>
      <c r="AF7" s="141"/>
      <c r="AG7" s="141"/>
      <c r="AH7" s="141"/>
      <c r="AI7" s="141"/>
      <c r="AJ7" s="141"/>
      <c r="AK7" s="141"/>
      <c r="AL7" s="141"/>
      <c r="AM7" s="141"/>
    </row>
    <row r="8" spans="1:39" x14ac:dyDescent="0.25">
      <c r="A8" s="141"/>
      <c r="B8" s="141"/>
      <c r="C8" s="136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137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  <c r="AH8" s="141"/>
      <c r="AI8" s="141"/>
      <c r="AJ8" s="141"/>
      <c r="AK8" s="141"/>
      <c r="AL8" s="141"/>
      <c r="AM8" s="141"/>
    </row>
    <row r="9" spans="1:39" x14ac:dyDescent="0.25">
      <c r="A9" s="141"/>
      <c r="B9" s="141"/>
      <c r="C9" s="136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137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</row>
    <row r="10" spans="1:39" x14ac:dyDescent="0.25">
      <c r="A10" s="141"/>
      <c r="B10" s="141"/>
      <c r="C10" s="136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137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</row>
    <row r="11" spans="1:39" x14ac:dyDescent="0.25">
      <c r="A11" s="141"/>
      <c r="B11" s="141"/>
      <c r="C11" s="136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137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</row>
    <row r="12" spans="1:39" x14ac:dyDescent="0.25">
      <c r="A12" s="141"/>
      <c r="B12" s="141"/>
      <c r="C12" s="136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137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</row>
    <row r="13" spans="1:39" x14ac:dyDescent="0.25">
      <c r="A13" s="141"/>
      <c r="B13" s="141"/>
      <c r="C13" s="136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137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</row>
    <row r="14" spans="1:39" x14ac:dyDescent="0.25">
      <c r="A14" s="141"/>
      <c r="B14" s="141"/>
      <c r="C14" s="136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137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</row>
    <row r="15" spans="1:39" x14ac:dyDescent="0.25">
      <c r="A15" s="141"/>
      <c r="B15" s="141"/>
      <c r="C15" s="136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137"/>
      <c r="T15" s="141"/>
      <c r="U15" s="141"/>
      <c r="V15" s="141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41"/>
      <c r="AI15" s="141"/>
      <c r="AJ15" s="141"/>
      <c r="AK15" s="141"/>
      <c r="AL15" s="141"/>
      <c r="AM15" s="141"/>
    </row>
    <row r="16" spans="1:39" x14ac:dyDescent="0.25">
      <c r="A16" s="141"/>
      <c r="B16" s="141"/>
      <c r="C16" s="136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137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</row>
    <row r="17" spans="1:39" x14ac:dyDescent="0.25">
      <c r="A17" s="141"/>
      <c r="B17" s="141"/>
      <c r="C17" s="136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137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</row>
    <row r="18" spans="1:39" x14ac:dyDescent="0.25">
      <c r="A18" s="141"/>
      <c r="B18" s="141"/>
      <c r="C18" s="136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137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</row>
    <row r="19" spans="1:39" x14ac:dyDescent="0.25">
      <c r="A19" s="141"/>
      <c r="B19" s="141"/>
      <c r="C19" s="136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137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</row>
    <row r="20" spans="1:39" x14ac:dyDescent="0.25">
      <c r="A20" s="141"/>
      <c r="B20" s="141"/>
      <c r="C20" s="136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137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</row>
    <row r="21" spans="1:39" ht="15.75" thickBot="1" x14ac:dyDescent="0.3">
      <c r="A21" s="141"/>
      <c r="B21" s="141"/>
      <c r="C21" s="136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137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</row>
    <row r="22" spans="1:39" ht="15.75" thickBot="1" x14ac:dyDescent="0.3">
      <c r="A22" s="141"/>
      <c r="B22" s="141"/>
      <c r="C22" s="136"/>
      <c r="D22" s="144" t="s">
        <v>232</v>
      </c>
      <c r="E22" s="145"/>
      <c r="F22" s="146" t="str">
        <f>COD_DESC_CAPACT!CL8</f>
        <v>0,00</v>
      </c>
      <c r="G22" s="147" t="s">
        <v>19</v>
      </c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137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</row>
    <row r="23" spans="1:39" ht="15.75" thickBot="1" x14ac:dyDescent="0.3">
      <c r="A23" s="141"/>
      <c r="B23" s="141"/>
      <c r="C23" s="136"/>
      <c r="D23" s="142" t="s">
        <v>233</v>
      </c>
      <c r="E23" s="143"/>
      <c r="F23" s="146">
        <f>COD_DESC_CAPACT!DF5</f>
        <v>0</v>
      </c>
      <c r="G23" s="147" t="s">
        <v>13</v>
      </c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137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1"/>
      <c r="AM23" s="141"/>
    </row>
    <row r="24" spans="1:39" x14ac:dyDescent="0.25">
      <c r="A24" s="141"/>
      <c r="B24" s="141"/>
      <c r="C24" s="136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137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</row>
    <row r="25" spans="1:39" ht="15.75" thickBot="1" x14ac:dyDescent="0.3">
      <c r="A25" s="141"/>
      <c r="B25" s="141"/>
      <c r="C25" s="138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40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</row>
    <row r="26" spans="1:39" x14ac:dyDescent="0.25">
      <c r="A26" s="141"/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</row>
    <row r="27" spans="1:39" x14ac:dyDescent="0.25">
      <c r="A27" s="141"/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</row>
    <row r="28" spans="1:39" x14ac:dyDescent="0.2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</row>
    <row r="29" spans="1:39" x14ac:dyDescent="0.2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</row>
    <row r="30" spans="1:39" x14ac:dyDescent="0.25">
      <c r="A30" s="141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</row>
    <row r="31" spans="1:39" x14ac:dyDescent="0.2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</row>
    <row r="32" spans="1:39" x14ac:dyDescent="0.2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</row>
    <row r="33" spans="1:39" x14ac:dyDescent="0.2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</row>
    <row r="34" spans="1:39" x14ac:dyDescent="0.2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</row>
    <row r="35" spans="1:39" x14ac:dyDescent="0.2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</row>
    <row r="36" spans="1:39" x14ac:dyDescent="0.2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</row>
    <row r="37" spans="1:39" x14ac:dyDescent="0.2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</row>
    <row r="38" spans="1:39" x14ac:dyDescent="0.2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</row>
    <row r="39" spans="1:39" x14ac:dyDescent="0.2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</row>
    <row r="40" spans="1:39" x14ac:dyDescent="0.2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</row>
    <row r="41" spans="1:39" x14ac:dyDescent="0.2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</row>
    <row r="42" spans="1:39" x14ac:dyDescent="0.2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</row>
    <row r="43" spans="1:39" x14ac:dyDescent="0.2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</row>
    <row r="44" spans="1:39" x14ac:dyDescent="0.2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</row>
    <row r="45" spans="1:39" x14ac:dyDescent="0.2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</row>
    <row r="46" spans="1:39" x14ac:dyDescent="0.2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</row>
    <row r="47" spans="1:39" x14ac:dyDescent="0.2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</row>
    <row r="48" spans="1:39" x14ac:dyDescent="0.2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</row>
    <row r="49" spans="1:39" x14ac:dyDescent="0.2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</row>
    <row r="50" spans="1:39" x14ac:dyDescent="0.2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</row>
    <row r="51" spans="1:39" x14ac:dyDescent="0.2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</row>
    <row r="52" spans="1:39" x14ac:dyDescent="0.25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</row>
    <row r="53" spans="1:39" x14ac:dyDescent="0.25">
      <c r="A53" s="141"/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</row>
    <row r="54" spans="1:39" x14ac:dyDescent="0.25">
      <c r="A54" s="141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</row>
    <row r="55" spans="1:39" x14ac:dyDescent="0.25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</row>
    <row r="56" spans="1:39" x14ac:dyDescent="0.25">
      <c r="A56" s="141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</row>
    <row r="57" spans="1:39" x14ac:dyDescent="0.25">
      <c r="A57" s="141"/>
      <c r="B57" s="141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  <c r="AJ57" s="141"/>
      <c r="AK57" s="141"/>
      <c r="AL57" s="141"/>
      <c r="AM57" s="141"/>
    </row>
    <row r="58" spans="1:39" x14ac:dyDescent="0.25">
      <c r="A58" s="141"/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  <c r="AG58" s="141"/>
      <c r="AH58" s="141"/>
      <c r="AI58" s="141"/>
      <c r="AJ58" s="141"/>
      <c r="AK58" s="141"/>
      <c r="AL58" s="141"/>
      <c r="AM58" s="141"/>
    </row>
    <row r="59" spans="1:39" x14ac:dyDescent="0.25">
      <c r="A59" s="141"/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1"/>
      <c r="AF59" s="141"/>
      <c r="AG59" s="141"/>
      <c r="AH59" s="141"/>
      <c r="AI59" s="141"/>
      <c r="AJ59" s="141"/>
      <c r="AK59" s="141"/>
      <c r="AL59" s="141"/>
      <c r="AM59" s="141"/>
    </row>
    <row r="60" spans="1:39" x14ac:dyDescent="0.25">
      <c r="A60" s="141"/>
      <c r="B60" s="141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1"/>
    </row>
    <row r="61" spans="1:39" x14ac:dyDescent="0.25">
      <c r="A61" s="141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</row>
    <row r="62" spans="1:39" x14ac:dyDescent="0.25">
      <c r="A62" s="141"/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  <c r="AI62" s="141"/>
      <c r="AJ62" s="141"/>
      <c r="AK62" s="141"/>
      <c r="AL62" s="141"/>
      <c r="AM62" s="141"/>
    </row>
    <row r="63" spans="1:39" x14ac:dyDescent="0.25">
      <c r="A63" s="141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  <c r="AA63" s="141"/>
      <c r="AB63" s="141"/>
      <c r="AC63" s="141"/>
      <c r="AD63" s="141"/>
      <c r="AE63" s="141"/>
      <c r="AF63" s="141"/>
      <c r="AG63" s="141"/>
      <c r="AH63" s="141"/>
      <c r="AI63" s="141"/>
      <c r="AJ63" s="141"/>
      <c r="AK63" s="141"/>
      <c r="AL63" s="141"/>
      <c r="AM63" s="141"/>
    </row>
    <row r="64" spans="1:39" x14ac:dyDescent="0.25">
      <c r="A64" s="141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</row>
    <row r="65" spans="1:39" x14ac:dyDescent="0.25">
      <c r="A65" s="141"/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</row>
    <row r="66" spans="1:39" x14ac:dyDescent="0.25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</row>
    <row r="67" spans="1:39" x14ac:dyDescent="0.25">
      <c r="A67" s="141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</row>
    <row r="68" spans="1:39" x14ac:dyDescent="0.25">
      <c r="A68" s="141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</row>
    <row r="69" spans="1:39" x14ac:dyDescent="0.25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1"/>
    </row>
    <row r="70" spans="1:39" x14ac:dyDescent="0.25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  <c r="AF70" s="141"/>
      <c r="AG70" s="141"/>
      <c r="AH70" s="141"/>
      <c r="AI70" s="141"/>
      <c r="AJ70" s="141"/>
      <c r="AK70" s="141"/>
      <c r="AL70" s="141"/>
      <c r="AM70" s="141"/>
    </row>
    <row r="71" spans="1:39" x14ac:dyDescent="0.25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1"/>
      <c r="AL71" s="141"/>
      <c r="AM71" s="141"/>
    </row>
    <row r="72" spans="1:39" x14ac:dyDescent="0.25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41"/>
      <c r="AH72" s="141"/>
      <c r="AI72" s="141"/>
      <c r="AJ72" s="141"/>
      <c r="AK72" s="141"/>
      <c r="AL72" s="141"/>
      <c r="AM72" s="141"/>
    </row>
    <row r="73" spans="1:39" x14ac:dyDescent="0.25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  <c r="AL73" s="141"/>
      <c r="AM73" s="141"/>
    </row>
    <row r="74" spans="1:39" x14ac:dyDescent="0.25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  <c r="AL74" s="141"/>
      <c r="AM74" s="141"/>
    </row>
    <row r="75" spans="1:39" x14ac:dyDescent="0.25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  <c r="AG75" s="141"/>
      <c r="AH75" s="141"/>
      <c r="AI75" s="141"/>
      <c r="AJ75" s="141"/>
      <c r="AK75" s="141"/>
      <c r="AL75" s="141"/>
      <c r="AM75" s="141"/>
    </row>
    <row r="76" spans="1:39" x14ac:dyDescent="0.25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</row>
    <row r="77" spans="1:39" x14ac:dyDescent="0.25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  <c r="AF77" s="141"/>
      <c r="AG77" s="141"/>
      <c r="AH77" s="141"/>
      <c r="AI77" s="141"/>
      <c r="AJ77" s="141"/>
      <c r="AK77" s="141"/>
      <c r="AL77" s="141"/>
      <c r="AM77" s="141"/>
    </row>
    <row r="78" spans="1:39" x14ac:dyDescent="0.25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1"/>
      <c r="AL78" s="141"/>
      <c r="AM78" s="141"/>
    </row>
    <row r="79" spans="1:39" x14ac:dyDescent="0.25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  <c r="AI79" s="141"/>
      <c r="AJ79" s="141"/>
      <c r="AK79" s="141"/>
      <c r="AL79" s="141"/>
      <c r="AM79" s="141"/>
    </row>
    <row r="80" spans="1:39" x14ac:dyDescent="0.25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  <c r="AA80" s="141"/>
      <c r="AB80" s="141"/>
      <c r="AC80" s="141"/>
      <c r="AD80" s="141"/>
      <c r="AE80" s="141"/>
      <c r="AF80" s="141"/>
      <c r="AG80" s="141"/>
      <c r="AH80" s="141"/>
      <c r="AI80" s="141"/>
      <c r="AJ80" s="141"/>
      <c r="AK80" s="141"/>
      <c r="AL80" s="141"/>
      <c r="AM80" s="141"/>
    </row>
    <row r="81" spans="1:39" x14ac:dyDescent="0.25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  <c r="AG81" s="141"/>
      <c r="AH81" s="141"/>
      <c r="AI81" s="141"/>
      <c r="AJ81" s="141"/>
      <c r="AK81" s="141"/>
      <c r="AL81" s="141"/>
      <c r="AM81" s="141"/>
    </row>
    <row r="82" spans="1:39" x14ac:dyDescent="0.25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</row>
    <row r="83" spans="1:39" x14ac:dyDescent="0.25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  <c r="AG83" s="141"/>
      <c r="AH83" s="141"/>
      <c r="AI83" s="141"/>
      <c r="AJ83" s="141"/>
      <c r="AK83" s="141"/>
      <c r="AL83" s="141"/>
      <c r="AM83" s="141"/>
    </row>
    <row r="84" spans="1:39" x14ac:dyDescent="0.25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  <c r="AI84" s="141"/>
      <c r="AJ84" s="141"/>
      <c r="AK84" s="141"/>
      <c r="AL84" s="141"/>
      <c r="AM84" s="141"/>
    </row>
    <row r="85" spans="1:39" x14ac:dyDescent="0.25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</row>
    <row r="86" spans="1:39" x14ac:dyDescent="0.25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</row>
    <row r="87" spans="1:39" x14ac:dyDescent="0.25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</row>
    <row r="88" spans="1:39" x14ac:dyDescent="0.25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</row>
    <row r="89" spans="1:39" x14ac:dyDescent="0.25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</row>
    <row r="90" spans="1:39" x14ac:dyDescent="0.25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</row>
    <row r="91" spans="1:39" x14ac:dyDescent="0.25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</row>
    <row r="92" spans="1:39" x14ac:dyDescent="0.25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  <c r="AF92" s="141"/>
      <c r="AG92" s="141"/>
      <c r="AH92" s="141"/>
      <c r="AI92" s="141"/>
      <c r="AJ92" s="141"/>
      <c r="AK92" s="141"/>
      <c r="AL92" s="141"/>
      <c r="AM92" s="141"/>
    </row>
    <row r="93" spans="1:39" x14ac:dyDescent="0.25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  <c r="AI93" s="141"/>
      <c r="AJ93" s="141"/>
      <c r="AK93" s="141"/>
      <c r="AL93" s="141"/>
      <c r="AM93" s="141"/>
    </row>
    <row r="94" spans="1:39" x14ac:dyDescent="0.25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  <c r="AG94" s="141"/>
      <c r="AH94" s="141"/>
      <c r="AI94" s="141"/>
      <c r="AJ94" s="141"/>
      <c r="AK94" s="141"/>
      <c r="AL94" s="141"/>
      <c r="AM94" s="141"/>
    </row>
    <row r="95" spans="1:39" x14ac:dyDescent="0.25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</row>
    <row r="96" spans="1:39" x14ac:dyDescent="0.25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</row>
    <row r="97" spans="1:39" x14ac:dyDescent="0.25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</row>
    <row r="98" spans="1:39" x14ac:dyDescent="0.25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</row>
    <row r="99" spans="1:39" x14ac:dyDescent="0.25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</row>
    <row r="100" spans="1:39" x14ac:dyDescent="0.25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</row>
    <row r="101" spans="1:39" x14ac:dyDescent="0.25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</row>
    <row r="102" spans="1:39" x14ac:dyDescent="0.25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</row>
    <row r="103" spans="1:39" x14ac:dyDescent="0.25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</row>
    <row r="104" spans="1:39" x14ac:dyDescent="0.25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</row>
    <row r="105" spans="1:39" x14ac:dyDescent="0.25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  <c r="AI105" s="141"/>
      <c r="AJ105" s="141"/>
      <c r="AK105" s="141"/>
      <c r="AL105" s="141"/>
      <c r="AM105" s="141"/>
    </row>
    <row r="106" spans="1:39" x14ac:dyDescent="0.25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  <c r="AA106" s="141"/>
      <c r="AB106" s="141"/>
      <c r="AC106" s="141"/>
      <c r="AD106" s="141"/>
      <c r="AE106" s="141"/>
      <c r="AF106" s="141"/>
      <c r="AG106" s="141"/>
      <c r="AH106" s="141"/>
      <c r="AI106" s="141"/>
      <c r="AJ106" s="141"/>
      <c r="AK106" s="141"/>
      <c r="AL106" s="141"/>
      <c r="AM106" s="141"/>
    </row>
    <row r="107" spans="1:39" x14ac:dyDescent="0.25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  <c r="AA107" s="141"/>
      <c r="AB107" s="141"/>
      <c r="AC107" s="141"/>
      <c r="AD107" s="141"/>
      <c r="AE107" s="141"/>
      <c r="AF107" s="141"/>
      <c r="AG107" s="141"/>
      <c r="AH107" s="141"/>
      <c r="AI107" s="141"/>
      <c r="AJ107" s="141"/>
      <c r="AK107" s="141"/>
      <c r="AL107" s="141"/>
      <c r="AM107" s="141"/>
    </row>
    <row r="108" spans="1:39" x14ac:dyDescent="0.25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  <c r="AG108" s="141"/>
      <c r="AH108" s="141"/>
      <c r="AI108" s="141"/>
      <c r="AJ108" s="141"/>
      <c r="AK108" s="141"/>
      <c r="AL108" s="141"/>
      <c r="AM108" s="141"/>
    </row>
    <row r="109" spans="1:39" x14ac:dyDescent="0.25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  <c r="AA109" s="141"/>
      <c r="AB109" s="141"/>
      <c r="AC109" s="141"/>
      <c r="AD109" s="141"/>
      <c r="AE109" s="141"/>
      <c r="AF109" s="141"/>
      <c r="AG109" s="141"/>
      <c r="AH109" s="141"/>
      <c r="AI109" s="141"/>
      <c r="AJ109" s="141"/>
      <c r="AK109" s="141"/>
      <c r="AL109" s="141"/>
      <c r="AM109" s="141"/>
    </row>
    <row r="110" spans="1:39" x14ac:dyDescent="0.25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  <c r="AG110" s="141"/>
      <c r="AH110" s="141"/>
      <c r="AI110" s="141"/>
      <c r="AJ110" s="141"/>
      <c r="AK110" s="141"/>
      <c r="AL110" s="141"/>
      <c r="AM110" s="141"/>
    </row>
    <row r="111" spans="1:39" x14ac:dyDescent="0.25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</row>
    <row r="112" spans="1:39" x14ac:dyDescent="0.25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  <c r="AF112" s="141"/>
      <c r="AG112" s="141"/>
      <c r="AH112" s="141"/>
      <c r="AI112" s="141"/>
      <c r="AJ112" s="141"/>
      <c r="AK112" s="141"/>
      <c r="AL112" s="141"/>
      <c r="AM112" s="141"/>
    </row>
    <row r="113" spans="1:39" x14ac:dyDescent="0.25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L113" s="141"/>
      <c r="AM113" s="141"/>
    </row>
    <row r="114" spans="1:39" x14ac:dyDescent="0.25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  <c r="AF114" s="141"/>
      <c r="AG114" s="141"/>
      <c r="AH114" s="141"/>
      <c r="AI114" s="141"/>
      <c r="AJ114" s="141"/>
      <c r="AK114" s="141"/>
      <c r="AL114" s="141"/>
      <c r="AM114" s="141"/>
    </row>
    <row r="115" spans="1:39" x14ac:dyDescent="0.25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  <c r="AA115" s="141"/>
      <c r="AB115" s="141"/>
      <c r="AC115" s="141"/>
      <c r="AD115" s="141"/>
      <c r="AE115" s="141"/>
      <c r="AF115" s="141"/>
      <c r="AG115" s="141"/>
      <c r="AH115" s="141"/>
      <c r="AI115" s="141"/>
      <c r="AJ115" s="141"/>
      <c r="AK115" s="141"/>
      <c r="AL115" s="141"/>
      <c r="AM115" s="141"/>
    </row>
    <row r="116" spans="1:39" x14ac:dyDescent="0.25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  <c r="AA116" s="141"/>
      <c r="AB116" s="141"/>
      <c r="AC116" s="141"/>
      <c r="AD116" s="141"/>
      <c r="AE116" s="141"/>
      <c r="AF116" s="141"/>
      <c r="AG116" s="141"/>
      <c r="AH116" s="141"/>
      <c r="AI116" s="141"/>
      <c r="AJ116" s="141"/>
      <c r="AK116" s="141"/>
      <c r="AL116" s="141"/>
      <c r="AM116" s="141"/>
    </row>
    <row r="117" spans="1:39" x14ac:dyDescent="0.25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  <c r="AF117" s="141"/>
      <c r="AG117" s="141"/>
      <c r="AH117" s="141"/>
      <c r="AI117" s="141"/>
      <c r="AJ117" s="141"/>
      <c r="AK117" s="141"/>
      <c r="AL117" s="141"/>
      <c r="AM117" s="141"/>
    </row>
    <row r="118" spans="1:39" x14ac:dyDescent="0.25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  <c r="AA118" s="141"/>
      <c r="AB118" s="141"/>
      <c r="AC118" s="141"/>
      <c r="AD118" s="141"/>
      <c r="AE118" s="141"/>
      <c r="AF118" s="141"/>
      <c r="AG118" s="141"/>
      <c r="AH118" s="141"/>
      <c r="AI118" s="141"/>
      <c r="AJ118" s="141"/>
      <c r="AK118" s="141"/>
      <c r="AL118" s="141"/>
      <c r="AM118" s="141"/>
    </row>
    <row r="119" spans="1:39" x14ac:dyDescent="0.25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  <c r="AA119" s="141"/>
      <c r="AB119" s="141"/>
      <c r="AC119" s="141"/>
      <c r="AD119" s="141"/>
      <c r="AE119" s="141"/>
      <c r="AF119" s="141"/>
      <c r="AG119" s="141"/>
      <c r="AH119" s="141"/>
      <c r="AI119" s="141"/>
      <c r="AJ119" s="141"/>
      <c r="AK119" s="141"/>
      <c r="AL119" s="141"/>
      <c r="AM119" s="141"/>
    </row>
    <row r="120" spans="1:39" x14ac:dyDescent="0.25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  <c r="AA120" s="141"/>
      <c r="AB120" s="141"/>
      <c r="AC120" s="141"/>
      <c r="AD120" s="141"/>
      <c r="AE120" s="141"/>
      <c r="AF120" s="141"/>
      <c r="AG120" s="141"/>
      <c r="AH120" s="141"/>
      <c r="AI120" s="141"/>
      <c r="AJ120" s="141"/>
      <c r="AK120" s="141"/>
      <c r="AL120" s="141"/>
      <c r="AM120" s="141"/>
    </row>
    <row r="121" spans="1:39" x14ac:dyDescent="0.25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  <c r="AF121" s="141"/>
      <c r="AG121" s="141"/>
      <c r="AH121" s="141"/>
      <c r="AI121" s="141"/>
      <c r="AJ121" s="141"/>
      <c r="AK121" s="141"/>
      <c r="AL121" s="141"/>
      <c r="AM121" s="141"/>
    </row>
    <row r="122" spans="1:39" x14ac:dyDescent="0.25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  <c r="AF122" s="141"/>
      <c r="AG122" s="141"/>
      <c r="AH122" s="141"/>
      <c r="AI122" s="141"/>
      <c r="AJ122" s="141"/>
      <c r="AK122" s="141"/>
      <c r="AL122" s="141"/>
      <c r="AM122" s="141"/>
    </row>
    <row r="123" spans="1:39" x14ac:dyDescent="0.25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  <c r="AA123" s="141"/>
      <c r="AB123" s="141"/>
      <c r="AC123" s="141"/>
      <c r="AD123" s="141"/>
      <c r="AE123" s="141"/>
      <c r="AF123" s="141"/>
      <c r="AG123" s="141"/>
      <c r="AH123" s="141"/>
      <c r="AI123" s="141"/>
      <c r="AJ123" s="141"/>
      <c r="AK123" s="141"/>
      <c r="AL123" s="141"/>
      <c r="AM123" s="141"/>
    </row>
    <row r="124" spans="1:39" x14ac:dyDescent="0.25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  <c r="AA124" s="141"/>
      <c r="AB124" s="141"/>
      <c r="AC124" s="141"/>
      <c r="AD124" s="141"/>
      <c r="AE124" s="141"/>
      <c r="AF124" s="141"/>
      <c r="AG124" s="141"/>
      <c r="AH124" s="141"/>
      <c r="AI124" s="141"/>
      <c r="AJ124" s="141"/>
      <c r="AK124" s="141"/>
      <c r="AL124" s="141"/>
      <c r="AM124" s="141"/>
    </row>
    <row r="125" spans="1:39" x14ac:dyDescent="0.25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  <c r="AA125" s="141"/>
      <c r="AB125" s="141"/>
      <c r="AC125" s="141"/>
      <c r="AD125" s="141"/>
      <c r="AE125" s="141"/>
      <c r="AF125" s="141"/>
      <c r="AG125" s="141"/>
      <c r="AH125" s="141"/>
      <c r="AI125" s="141"/>
      <c r="AJ125" s="141"/>
      <c r="AK125" s="141"/>
      <c r="AL125" s="141"/>
      <c r="AM125" s="141"/>
    </row>
    <row r="126" spans="1:39" x14ac:dyDescent="0.25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  <c r="AA126" s="141"/>
      <c r="AB126" s="141"/>
      <c r="AC126" s="141"/>
      <c r="AD126" s="141"/>
      <c r="AE126" s="141"/>
      <c r="AF126" s="141"/>
      <c r="AG126" s="141"/>
      <c r="AH126" s="141"/>
      <c r="AI126" s="141"/>
      <c r="AJ126" s="141"/>
      <c r="AK126" s="141"/>
      <c r="AL126" s="141"/>
      <c r="AM126" s="141"/>
    </row>
    <row r="127" spans="1:39" x14ac:dyDescent="0.25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141"/>
      <c r="AF127" s="141"/>
      <c r="AG127" s="141"/>
      <c r="AH127" s="141"/>
      <c r="AI127" s="141"/>
      <c r="AJ127" s="141"/>
      <c r="AK127" s="141"/>
      <c r="AL127" s="141"/>
      <c r="AM127" s="141"/>
    </row>
    <row r="128" spans="1:39" x14ac:dyDescent="0.25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  <c r="AA128" s="141"/>
      <c r="AB128" s="141"/>
      <c r="AC128" s="141"/>
      <c r="AD128" s="141"/>
      <c r="AE128" s="141"/>
      <c r="AF128" s="141"/>
      <c r="AG128" s="141"/>
      <c r="AH128" s="141"/>
      <c r="AI128" s="141"/>
      <c r="AJ128" s="141"/>
      <c r="AK128" s="141"/>
      <c r="AL128" s="141"/>
      <c r="AM128" s="141"/>
    </row>
    <row r="129" spans="1:39" x14ac:dyDescent="0.25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  <c r="AA129" s="141"/>
      <c r="AB129" s="141"/>
      <c r="AC129" s="141"/>
      <c r="AD129" s="141"/>
      <c r="AE129" s="141"/>
      <c r="AF129" s="141"/>
      <c r="AG129" s="141"/>
      <c r="AH129" s="141"/>
      <c r="AI129" s="141"/>
      <c r="AJ129" s="141"/>
      <c r="AK129" s="141"/>
      <c r="AL129" s="141"/>
      <c r="AM129" s="141"/>
    </row>
    <row r="130" spans="1:39" x14ac:dyDescent="0.25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  <c r="AA130" s="141"/>
      <c r="AB130" s="141"/>
      <c r="AC130" s="141"/>
      <c r="AD130" s="141"/>
      <c r="AE130" s="141"/>
      <c r="AF130" s="141"/>
      <c r="AG130" s="141"/>
      <c r="AH130" s="141"/>
      <c r="AI130" s="141"/>
      <c r="AJ130" s="141"/>
      <c r="AK130" s="141"/>
      <c r="AL130" s="141"/>
      <c r="AM130" s="141"/>
    </row>
    <row r="131" spans="1:39" x14ac:dyDescent="0.25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  <c r="AA131" s="141"/>
      <c r="AB131" s="141"/>
      <c r="AC131" s="141"/>
      <c r="AD131" s="141"/>
      <c r="AE131" s="141"/>
      <c r="AF131" s="141"/>
      <c r="AG131" s="141"/>
      <c r="AH131" s="141"/>
      <c r="AI131" s="141"/>
      <c r="AJ131" s="141"/>
      <c r="AK131" s="141"/>
      <c r="AL131" s="141"/>
      <c r="AM131" s="141"/>
    </row>
    <row r="132" spans="1:39" x14ac:dyDescent="0.25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  <c r="AA132" s="141"/>
      <c r="AB132" s="141"/>
      <c r="AC132" s="141"/>
      <c r="AD132" s="141"/>
      <c r="AE132" s="141"/>
      <c r="AF132" s="141"/>
      <c r="AG132" s="141"/>
      <c r="AH132" s="141"/>
      <c r="AI132" s="141"/>
      <c r="AJ132" s="141"/>
      <c r="AK132" s="141"/>
      <c r="AL132" s="141"/>
      <c r="AM132" s="141"/>
    </row>
    <row r="133" spans="1:39" x14ac:dyDescent="0.25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  <c r="AG133" s="141"/>
      <c r="AH133" s="141"/>
      <c r="AI133" s="141"/>
      <c r="AJ133" s="141"/>
      <c r="AK133" s="141"/>
      <c r="AL133" s="141"/>
      <c r="AM133" s="141"/>
    </row>
    <row r="134" spans="1:39" x14ac:dyDescent="0.25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41"/>
      <c r="AI134" s="141"/>
      <c r="AJ134" s="141"/>
      <c r="AK134" s="141"/>
      <c r="AL134" s="141"/>
      <c r="AM134" s="141"/>
    </row>
    <row r="135" spans="1:39" x14ac:dyDescent="0.25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  <c r="AG135" s="141"/>
      <c r="AH135" s="141"/>
      <c r="AI135" s="141"/>
      <c r="AJ135" s="141"/>
      <c r="AK135" s="141"/>
      <c r="AL135" s="141"/>
      <c r="AM135" s="141"/>
    </row>
    <row r="136" spans="1:39" x14ac:dyDescent="0.25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  <c r="AG136" s="141"/>
      <c r="AH136" s="141"/>
      <c r="AI136" s="141"/>
      <c r="AJ136" s="141"/>
      <c r="AK136" s="141"/>
      <c r="AL136" s="141"/>
      <c r="AM136" s="141"/>
    </row>
    <row r="137" spans="1:39" x14ac:dyDescent="0.25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  <c r="AG137" s="141"/>
      <c r="AH137" s="141"/>
      <c r="AI137" s="141"/>
      <c r="AJ137" s="141"/>
      <c r="AK137" s="141"/>
      <c r="AL137" s="141"/>
      <c r="AM137" s="141"/>
    </row>
    <row r="138" spans="1:39" x14ac:dyDescent="0.25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  <c r="AG138" s="141"/>
      <c r="AH138" s="141"/>
      <c r="AI138" s="141"/>
      <c r="AJ138" s="141"/>
      <c r="AK138" s="141"/>
      <c r="AL138" s="141"/>
      <c r="AM138" s="141"/>
    </row>
    <row r="139" spans="1:39" x14ac:dyDescent="0.25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41"/>
      <c r="AI139" s="141"/>
      <c r="AJ139" s="141"/>
      <c r="AK139" s="141"/>
      <c r="AL139" s="141"/>
      <c r="AM139" s="141"/>
    </row>
    <row r="140" spans="1:39" x14ac:dyDescent="0.25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41"/>
      <c r="AI140" s="141"/>
      <c r="AJ140" s="141"/>
      <c r="AK140" s="141"/>
      <c r="AL140" s="141"/>
      <c r="AM140" s="141"/>
    </row>
    <row r="141" spans="1:39" x14ac:dyDescent="0.25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41"/>
      <c r="AI141" s="141"/>
      <c r="AJ141" s="141"/>
      <c r="AK141" s="141"/>
      <c r="AL141" s="141"/>
      <c r="AM141" s="141"/>
    </row>
    <row r="142" spans="1:39" x14ac:dyDescent="0.25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41"/>
      <c r="AI142" s="141"/>
      <c r="AJ142" s="141"/>
      <c r="AK142" s="141"/>
      <c r="AL142" s="141"/>
      <c r="AM142" s="141"/>
    </row>
    <row r="143" spans="1:39" x14ac:dyDescent="0.25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41"/>
      <c r="AI143" s="141"/>
      <c r="AJ143" s="141"/>
      <c r="AK143" s="141"/>
      <c r="AL143" s="141"/>
      <c r="AM143" s="141"/>
    </row>
    <row r="144" spans="1:39" x14ac:dyDescent="0.25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41"/>
      <c r="AI144" s="141"/>
      <c r="AJ144" s="141"/>
      <c r="AK144" s="141"/>
      <c r="AL144" s="141"/>
      <c r="AM144" s="141"/>
    </row>
    <row r="145" spans="1:39" x14ac:dyDescent="0.25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41"/>
      <c r="AI145" s="141"/>
      <c r="AJ145" s="141"/>
      <c r="AK145" s="141"/>
      <c r="AL145" s="141"/>
      <c r="AM145" s="141"/>
    </row>
    <row r="146" spans="1:39" x14ac:dyDescent="0.25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41"/>
      <c r="AI146" s="141"/>
      <c r="AJ146" s="141"/>
      <c r="AK146" s="141"/>
      <c r="AL146" s="141"/>
      <c r="AM146" s="141"/>
    </row>
    <row r="147" spans="1:39" x14ac:dyDescent="0.25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  <c r="AA147" s="141"/>
      <c r="AB147" s="141"/>
      <c r="AC147" s="141"/>
      <c r="AD147" s="141"/>
      <c r="AE147" s="141"/>
      <c r="AF147" s="141"/>
      <c r="AG147" s="141"/>
      <c r="AH147" s="141"/>
      <c r="AI147" s="141"/>
      <c r="AJ147" s="141"/>
      <c r="AK147" s="141"/>
      <c r="AL147" s="141"/>
      <c r="AM147" s="141"/>
    </row>
    <row r="148" spans="1:39" x14ac:dyDescent="0.25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  <c r="AA148" s="141"/>
      <c r="AB148" s="141"/>
      <c r="AC148" s="141"/>
      <c r="AD148" s="141"/>
      <c r="AE148" s="141"/>
      <c r="AF148" s="141"/>
      <c r="AG148" s="141"/>
      <c r="AH148" s="141"/>
      <c r="AI148" s="141"/>
      <c r="AJ148" s="141"/>
      <c r="AK148" s="141"/>
      <c r="AL148" s="141"/>
      <c r="AM148" s="141"/>
    </row>
    <row r="149" spans="1:39" x14ac:dyDescent="0.25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  <c r="AA149" s="141"/>
      <c r="AB149" s="141"/>
      <c r="AC149" s="141"/>
      <c r="AD149" s="141"/>
      <c r="AE149" s="141"/>
      <c r="AF149" s="141"/>
      <c r="AG149" s="141"/>
      <c r="AH149" s="141"/>
      <c r="AI149" s="141"/>
      <c r="AJ149" s="141"/>
      <c r="AK149" s="141"/>
      <c r="AL149" s="141"/>
      <c r="AM149" s="141"/>
    </row>
    <row r="150" spans="1:39" x14ac:dyDescent="0.25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1"/>
      <c r="AH150" s="141"/>
      <c r="AI150" s="141"/>
      <c r="AJ150" s="141"/>
      <c r="AK150" s="141"/>
      <c r="AL150" s="141"/>
      <c r="AM150" s="141"/>
    </row>
    <row r="151" spans="1:39" x14ac:dyDescent="0.25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1"/>
      <c r="AH151" s="141"/>
      <c r="AI151" s="141"/>
      <c r="AJ151" s="141"/>
      <c r="AK151" s="141"/>
      <c r="AL151" s="141"/>
      <c r="AM151" s="141"/>
    </row>
    <row r="152" spans="1:39" x14ac:dyDescent="0.25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  <c r="AG152" s="141"/>
      <c r="AH152" s="141"/>
      <c r="AI152" s="141"/>
      <c r="AJ152" s="141"/>
      <c r="AK152" s="141"/>
      <c r="AL152" s="141"/>
      <c r="AM152" s="141"/>
    </row>
    <row r="153" spans="1:39" x14ac:dyDescent="0.25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  <c r="AG153" s="141"/>
      <c r="AH153" s="141"/>
      <c r="AI153" s="141"/>
      <c r="AJ153" s="141"/>
      <c r="AK153" s="141"/>
      <c r="AL153" s="141"/>
      <c r="AM153" s="141"/>
    </row>
    <row r="154" spans="1:39" x14ac:dyDescent="0.25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41"/>
      <c r="AI154" s="141"/>
      <c r="AJ154" s="141"/>
      <c r="AK154" s="141"/>
      <c r="AL154" s="141"/>
      <c r="AM154" s="141"/>
    </row>
    <row r="155" spans="1:39" x14ac:dyDescent="0.25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41"/>
      <c r="AI155" s="141"/>
      <c r="AJ155" s="141"/>
      <c r="AK155" s="141"/>
      <c r="AL155" s="141"/>
      <c r="AM155" s="141"/>
    </row>
    <row r="156" spans="1:39" x14ac:dyDescent="0.25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41"/>
      <c r="AI156" s="141"/>
      <c r="AJ156" s="141"/>
      <c r="AK156" s="141"/>
      <c r="AL156" s="141"/>
      <c r="AM156" s="141"/>
    </row>
    <row r="157" spans="1:39" x14ac:dyDescent="0.25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41"/>
      <c r="AI157" s="141"/>
      <c r="AJ157" s="141"/>
      <c r="AK157" s="141"/>
      <c r="AL157" s="141"/>
      <c r="AM157" s="141"/>
    </row>
    <row r="158" spans="1:39" x14ac:dyDescent="0.25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41"/>
      <c r="AI158" s="141"/>
      <c r="AJ158" s="141"/>
      <c r="AK158" s="141"/>
      <c r="AL158" s="141"/>
      <c r="AM158" s="141"/>
    </row>
    <row r="159" spans="1:39" x14ac:dyDescent="0.25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41"/>
      <c r="AI159" s="141"/>
      <c r="AJ159" s="141"/>
      <c r="AK159" s="141"/>
      <c r="AL159" s="141"/>
      <c r="AM159" s="141"/>
    </row>
    <row r="160" spans="1:39" x14ac:dyDescent="0.25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41"/>
      <c r="AI160" s="141"/>
      <c r="AJ160" s="141"/>
      <c r="AK160" s="141"/>
      <c r="AL160" s="141"/>
      <c r="AM160" s="141"/>
    </row>
    <row r="161" spans="1:39" x14ac:dyDescent="0.25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41"/>
      <c r="AI161" s="141"/>
      <c r="AJ161" s="141"/>
      <c r="AK161" s="141"/>
      <c r="AL161" s="141"/>
      <c r="AM161" s="141"/>
    </row>
    <row r="162" spans="1:39" x14ac:dyDescent="0.25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41"/>
      <c r="AI162" s="141"/>
      <c r="AJ162" s="141"/>
      <c r="AK162" s="141"/>
      <c r="AL162" s="141"/>
      <c r="AM162" s="141"/>
    </row>
    <row r="163" spans="1:39" x14ac:dyDescent="0.25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41"/>
      <c r="AI163" s="141"/>
      <c r="AJ163" s="141"/>
      <c r="AK163" s="141"/>
      <c r="AL163" s="141"/>
      <c r="AM163" s="141"/>
    </row>
    <row r="164" spans="1:39" x14ac:dyDescent="0.25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41"/>
      <c r="AI164" s="141"/>
      <c r="AJ164" s="141"/>
      <c r="AK164" s="141"/>
      <c r="AL164" s="141"/>
      <c r="AM164" s="141"/>
    </row>
    <row r="165" spans="1:39" x14ac:dyDescent="0.25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41"/>
      <c r="AI165" s="141"/>
      <c r="AJ165" s="141"/>
      <c r="AK165" s="141"/>
      <c r="AL165" s="141"/>
      <c r="AM165" s="141"/>
    </row>
    <row r="166" spans="1:39" x14ac:dyDescent="0.25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41"/>
      <c r="AI166" s="141"/>
      <c r="AJ166" s="141"/>
      <c r="AK166" s="141"/>
      <c r="AL166" s="141"/>
      <c r="AM166" s="141"/>
    </row>
    <row r="167" spans="1:39" x14ac:dyDescent="0.25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41"/>
      <c r="AI167" s="141"/>
      <c r="AJ167" s="141"/>
      <c r="AK167" s="141"/>
      <c r="AL167" s="141"/>
      <c r="AM167" s="141"/>
    </row>
    <row r="168" spans="1:39" x14ac:dyDescent="0.25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41"/>
      <c r="AI168" s="141"/>
      <c r="AJ168" s="141"/>
      <c r="AK168" s="141"/>
      <c r="AL168" s="141"/>
      <c r="AM168" s="141"/>
    </row>
    <row r="169" spans="1:39" x14ac:dyDescent="0.25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41"/>
      <c r="AI169" s="141"/>
      <c r="AJ169" s="141"/>
      <c r="AK169" s="141"/>
      <c r="AL169" s="141"/>
      <c r="AM169" s="141"/>
    </row>
    <row r="170" spans="1:39" x14ac:dyDescent="0.25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41"/>
      <c r="AI170" s="141"/>
      <c r="AJ170" s="141"/>
      <c r="AK170" s="141"/>
      <c r="AL170" s="141"/>
      <c r="AM170" s="141"/>
    </row>
    <row r="171" spans="1:39" x14ac:dyDescent="0.25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41"/>
      <c r="AI171" s="141"/>
      <c r="AJ171" s="141"/>
      <c r="AK171" s="141"/>
      <c r="AL171" s="141"/>
      <c r="AM171" s="141"/>
    </row>
    <row r="172" spans="1:39" x14ac:dyDescent="0.25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41"/>
      <c r="AI172" s="141"/>
      <c r="AJ172" s="141"/>
      <c r="AK172" s="141"/>
      <c r="AL172" s="141"/>
      <c r="AM172" s="141"/>
    </row>
    <row r="173" spans="1:39" x14ac:dyDescent="0.25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41"/>
      <c r="AI173" s="141"/>
      <c r="AJ173" s="141"/>
      <c r="AK173" s="141"/>
      <c r="AL173" s="141"/>
      <c r="AM173" s="141"/>
    </row>
    <row r="174" spans="1:39" x14ac:dyDescent="0.25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41"/>
      <c r="AI174" s="141"/>
      <c r="AJ174" s="141"/>
      <c r="AK174" s="141"/>
      <c r="AL174" s="141"/>
      <c r="AM174" s="141"/>
    </row>
    <row r="175" spans="1:39" x14ac:dyDescent="0.25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41"/>
      <c r="AI175" s="141"/>
      <c r="AJ175" s="141"/>
      <c r="AK175" s="141"/>
      <c r="AL175" s="141"/>
      <c r="AM175" s="141"/>
    </row>
    <row r="176" spans="1:39" x14ac:dyDescent="0.25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41"/>
      <c r="AI176" s="141"/>
      <c r="AJ176" s="141"/>
      <c r="AK176" s="141"/>
      <c r="AL176" s="141"/>
      <c r="AM176" s="141"/>
    </row>
    <row r="177" spans="1:39" x14ac:dyDescent="0.25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41"/>
      <c r="AI177" s="141"/>
      <c r="AJ177" s="141"/>
      <c r="AK177" s="141"/>
      <c r="AL177" s="141"/>
      <c r="AM177" s="141"/>
    </row>
    <row r="178" spans="1:39" x14ac:dyDescent="0.25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  <c r="AA178" s="141"/>
      <c r="AB178" s="141"/>
      <c r="AC178" s="141"/>
      <c r="AD178" s="141"/>
      <c r="AE178" s="141"/>
      <c r="AF178" s="141"/>
      <c r="AG178" s="141"/>
      <c r="AH178" s="141"/>
      <c r="AI178" s="141"/>
      <c r="AJ178" s="141"/>
      <c r="AK178" s="141"/>
      <c r="AL178" s="141"/>
      <c r="AM178" s="141"/>
    </row>
    <row r="179" spans="1:39" x14ac:dyDescent="0.25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  <c r="AA179" s="141"/>
      <c r="AB179" s="141"/>
      <c r="AC179" s="141"/>
      <c r="AD179" s="141"/>
      <c r="AE179" s="141"/>
      <c r="AF179" s="141"/>
      <c r="AG179" s="141"/>
      <c r="AH179" s="141"/>
      <c r="AI179" s="141"/>
      <c r="AJ179" s="141"/>
      <c r="AK179" s="141"/>
      <c r="AL179" s="141"/>
      <c r="AM179" s="141"/>
    </row>
    <row r="180" spans="1:39" x14ac:dyDescent="0.25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  <c r="AA180" s="141"/>
      <c r="AB180" s="141"/>
      <c r="AC180" s="141"/>
      <c r="AD180" s="141"/>
      <c r="AE180" s="141"/>
      <c r="AF180" s="141"/>
      <c r="AG180" s="141"/>
      <c r="AH180" s="141"/>
      <c r="AI180" s="141"/>
      <c r="AJ180" s="141"/>
      <c r="AK180" s="141"/>
      <c r="AL180" s="141"/>
      <c r="AM180" s="141"/>
    </row>
    <row r="181" spans="1:39" x14ac:dyDescent="0.25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  <c r="AA181" s="141"/>
      <c r="AB181" s="141"/>
      <c r="AC181" s="141"/>
      <c r="AD181" s="141"/>
      <c r="AE181" s="141"/>
      <c r="AF181" s="141"/>
      <c r="AG181" s="141"/>
      <c r="AH181" s="141"/>
      <c r="AI181" s="141"/>
      <c r="AJ181" s="141"/>
      <c r="AK181" s="141"/>
      <c r="AL181" s="141"/>
      <c r="AM181" s="141"/>
    </row>
    <row r="182" spans="1:39" x14ac:dyDescent="0.25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  <c r="AA182" s="141"/>
      <c r="AB182" s="141"/>
      <c r="AC182" s="141"/>
      <c r="AD182" s="141"/>
      <c r="AE182" s="141"/>
      <c r="AF182" s="141"/>
      <c r="AG182" s="141"/>
      <c r="AH182" s="141"/>
      <c r="AI182" s="141"/>
      <c r="AJ182" s="141"/>
      <c r="AK182" s="141"/>
      <c r="AL182" s="141"/>
      <c r="AM182" s="141"/>
    </row>
    <row r="183" spans="1:39" x14ac:dyDescent="0.25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  <c r="AA183" s="141"/>
      <c r="AB183" s="141"/>
      <c r="AC183" s="141"/>
      <c r="AD183" s="141"/>
      <c r="AE183" s="141"/>
      <c r="AF183" s="141"/>
      <c r="AG183" s="141"/>
      <c r="AH183" s="141"/>
      <c r="AI183" s="141"/>
      <c r="AJ183" s="141"/>
      <c r="AK183" s="141"/>
      <c r="AL183" s="141"/>
      <c r="AM183" s="141"/>
    </row>
    <row r="184" spans="1:39" x14ac:dyDescent="0.25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  <c r="AA184" s="141"/>
      <c r="AB184" s="141"/>
      <c r="AC184" s="141"/>
      <c r="AD184" s="141"/>
      <c r="AE184" s="141"/>
      <c r="AF184" s="141"/>
      <c r="AG184" s="141"/>
      <c r="AH184" s="141"/>
      <c r="AI184" s="141"/>
      <c r="AJ184" s="141"/>
      <c r="AK184" s="141"/>
      <c r="AL184" s="141"/>
      <c r="AM184" s="141"/>
    </row>
    <row r="185" spans="1:39" x14ac:dyDescent="0.25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  <c r="AA185" s="141"/>
      <c r="AB185" s="141"/>
      <c r="AC185" s="141"/>
      <c r="AD185" s="141"/>
      <c r="AE185" s="141"/>
      <c r="AF185" s="141"/>
      <c r="AG185" s="141"/>
      <c r="AH185" s="141"/>
      <c r="AI185" s="141"/>
      <c r="AJ185" s="141"/>
      <c r="AK185" s="141"/>
      <c r="AL185" s="141"/>
      <c r="AM185" s="141"/>
    </row>
    <row r="186" spans="1:39" x14ac:dyDescent="0.25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  <c r="AA186" s="141"/>
      <c r="AB186" s="141"/>
      <c r="AC186" s="141"/>
      <c r="AD186" s="141"/>
      <c r="AE186" s="141"/>
      <c r="AF186" s="141"/>
      <c r="AG186" s="141"/>
      <c r="AH186" s="141"/>
      <c r="AI186" s="141"/>
      <c r="AJ186" s="141"/>
      <c r="AK186" s="141"/>
      <c r="AL186" s="141"/>
      <c r="AM186" s="141"/>
    </row>
    <row r="187" spans="1:39" x14ac:dyDescent="0.25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  <c r="AA187" s="141"/>
      <c r="AB187" s="141"/>
      <c r="AC187" s="141"/>
      <c r="AD187" s="141"/>
      <c r="AE187" s="141"/>
      <c r="AF187" s="141"/>
      <c r="AG187" s="141"/>
      <c r="AH187" s="141"/>
      <c r="AI187" s="141"/>
      <c r="AJ187" s="141"/>
      <c r="AK187" s="141"/>
      <c r="AL187" s="141"/>
      <c r="AM187" s="141"/>
    </row>
    <row r="188" spans="1:39" x14ac:dyDescent="0.25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  <c r="AA188" s="141"/>
      <c r="AB188" s="141"/>
      <c r="AC188" s="141"/>
      <c r="AD188" s="141"/>
      <c r="AE188" s="141"/>
      <c r="AF188" s="141"/>
      <c r="AG188" s="141"/>
      <c r="AH188" s="141"/>
      <c r="AI188" s="141"/>
      <c r="AJ188" s="141"/>
      <c r="AK188" s="141"/>
      <c r="AL188" s="141"/>
      <c r="AM188" s="141"/>
    </row>
    <row r="189" spans="1:39" x14ac:dyDescent="0.25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  <c r="AA189" s="141"/>
      <c r="AB189" s="141"/>
      <c r="AC189" s="141"/>
      <c r="AD189" s="141"/>
      <c r="AE189" s="141"/>
      <c r="AF189" s="141"/>
      <c r="AG189" s="141"/>
      <c r="AH189" s="141"/>
      <c r="AI189" s="141"/>
      <c r="AJ189" s="141"/>
      <c r="AK189" s="141"/>
      <c r="AL189" s="141"/>
      <c r="AM189" s="141"/>
    </row>
    <row r="190" spans="1:39" x14ac:dyDescent="0.25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  <c r="AA190" s="141"/>
      <c r="AB190" s="141"/>
      <c r="AC190" s="141"/>
      <c r="AD190" s="141"/>
      <c r="AE190" s="141"/>
      <c r="AF190" s="141"/>
      <c r="AG190" s="141"/>
      <c r="AH190" s="141"/>
      <c r="AI190" s="141"/>
      <c r="AJ190" s="141"/>
      <c r="AK190" s="141"/>
      <c r="AL190" s="141"/>
      <c r="AM190" s="141"/>
    </row>
    <row r="191" spans="1:39" x14ac:dyDescent="0.25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  <c r="AA191" s="141"/>
      <c r="AB191" s="141"/>
      <c r="AC191" s="141"/>
      <c r="AD191" s="141"/>
      <c r="AE191" s="141"/>
      <c r="AF191" s="141"/>
      <c r="AG191" s="141"/>
      <c r="AH191" s="141"/>
      <c r="AI191" s="141"/>
      <c r="AJ191" s="141"/>
      <c r="AK191" s="141"/>
      <c r="AL191" s="141"/>
      <c r="AM191" s="141"/>
    </row>
    <row r="192" spans="1:39" x14ac:dyDescent="0.25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  <c r="AG192" s="141"/>
      <c r="AH192" s="141"/>
      <c r="AI192" s="141"/>
      <c r="AJ192" s="141"/>
      <c r="AK192" s="141"/>
      <c r="AL192" s="141"/>
      <c r="AM192" s="141"/>
    </row>
    <row r="193" spans="1:39" x14ac:dyDescent="0.25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  <c r="AG193" s="141"/>
      <c r="AH193" s="141"/>
      <c r="AI193" s="141"/>
      <c r="AJ193" s="141"/>
      <c r="AK193" s="141"/>
      <c r="AL193" s="141"/>
      <c r="AM193" s="141"/>
    </row>
    <row r="194" spans="1:39" x14ac:dyDescent="0.25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  <c r="AG194" s="141"/>
      <c r="AH194" s="141"/>
      <c r="AI194" s="141"/>
      <c r="AJ194" s="141"/>
      <c r="AK194" s="141"/>
      <c r="AL194" s="141"/>
      <c r="AM194" s="141"/>
    </row>
    <row r="195" spans="1:39" x14ac:dyDescent="0.25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  <c r="AG195" s="141"/>
      <c r="AH195" s="141"/>
      <c r="AI195" s="141"/>
      <c r="AJ195" s="141"/>
      <c r="AK195" s="141"/>
      <c r="AL195" s="141"/>
      <c r="AM195" s="141"/>
    </row>
    <row r="196" spans="1:39" x14ac:dyDescent="0.25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  <c r="AG196" s="141"/>
      <c r="AH196" s="141"/>
      <c r="AI196" s="141"/>
      <c r="AJ196" s="141"/>
      <c r="AK196" s="141"/>
      <c r="AL196" s="141"/>
      <c r="AM196" s="141"/>
    </row>
    <row r="197" spans="1:39" x14ac:dyDescent="0.25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  <c r="AG197" s="141"/>
      <c r="AH197" s="141"/>
      <c r="AI197" s="141"/>
      <c r="AJ197" s="141"/>
      <c r="AK197" s="141"/>
      <c r="AL197" s="141"/>
      <c r="AM197" s="141"/>
    </row>
    <row r="198" spans="1:39" x14ac:dyDescent="0.25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  <c r="AG198" s="141"/>
      <c r="AH198" s="141"/>
      <c r="AI198" s="141"/>
      <c r="AJ198" s="141"/>
      <c r="AK198" s="141"/>
      <c r="AL198" s="141"/>
      <c r="AM198" s="141"/>
    </row>
    <row r="199" spans="1:39" x14ac:dyDescent="0.25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  <c r="AG199" s="141"/>
      <c r="AH199" s="141"/>
      <c r="AI199" s="141"/>
      <c r="AJ199" s="141"/>
      <c r="AK199" s="141"/>
      <c r="AL199" s="141"/>
      <c r="AM199" s="141"/>
    </row>
    <row r="200" spans="1:39" x14ac:dyDescent="0.25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  <c r="AA200" s="141"/>
      <c r="AB200" s="141"/>
      <c r="AC200" s="141"/>
      <c r="AD200" s="141"/>
      <c r="AE200" s="141"/>
      <c r="AF200" s="141"/>
      <c r="AG200" s="141"/>
      <c r="AH200" s="141"/>
      <c r="AI200" s="141"/>
      <c r="AJ200" s="141"/>
      <c r="AK200" s="141"/>
      <c r="AL200" s="141"/>
      <c r="AM200" s="141"/>
    </row>
    <row r="201" spans="1:39" x14ac:dyDescent="0.25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  <c r="AA201" s="141"/>
      <c r="AB201" s="141"/>
      <c r="AC201" s="141"/>
      <c r="AD201" s="141"/>
      <c r="AE201" s="141"/>
      <c r="AF201" s="141"/>
      <c r="AG201" s="141"/>
      <c r="AH201" s="141"/>
      <c r="AI201" s="141"/>
      <c r="AJ201" s="141"/>
      <c r="AK201" s="141"/>
      <c r="AL201" s="141"/>
      <c r="AM201" s="141"/>
    </row>
    <row r="202" spans="1:39" x14ac:dyDescent="0.25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  <c r="AA202" s="141"/>
      <c r="AB202" s="141"/>
      <c r="AC202" s="141"/>
      <c r="AD202" s="141"/>
      <c r="AE202" s="141"/>
      <c r="AF202" s="141"/>
      <c r="AG202" s="141"/>
      <c r="AH202" s="141"/>
      <c r="AI202" s="141"/>
      <c r="AJ202" s="141"/>
      <c r="AK202" s="141"/>
      <c r="AL202" s="141"/>
      <c r="AM202" s="141"/>
    </row>
  </sheetData>
  <sheetProtection algorithmName="SHA-512" hashValue="+v8dgpUpalU9pSqNiBMV0yKDgIOmMIl0P66w1ZrQbdYceLhNpH2n3gYwfxoyiLE1AHVuvL3CrPXgNfePoeFy0Q==" saltValue="XQUAoJmd2XGpukH/MwLZcg==" spinCount="100000" sheet="1" objects="1" selectLockedCells="1" pivotTables="0" selectUnlockedCells="1"/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E391-D38F-48CB-9B1D-3E09DE824D7F}">
  <sheetPr codeName="Planilha1"/>
  <dimension ref="A1:DH169"/>
  <sheetViews>
    <sheetView topLeftCell="BY1" workbookViewId="0">
      <selection activeCell="CG5" sqref="CG5"/>
    </sheetView>
  </sheetViews>
  <sheetFormatPr defaultRowHeight="15" x14ac:dyDescent="0.25"/>
  <cols>
    <col min="1" max="1" width="9" bestFit="1" customWidth="1"/>
    <col min="2" max="2" width="14" bestFit="1" customWidth="1"/>
    <col min="3" max="3" width="12.85546875" customWidth="1"/>
    <col min="4" max="4" width="17.5703125" customWidth="1"/>
    <col min="5" max="5" width="15.140625" bestFit="1" customWidth="1"/>
    <col min="6" max="6" width="25.42578125" customWidth="1"/>
    <col min="7" max="7" width="16.7109375" customWidth="1"/>
    <col min="8" max="8" width="15.140625" bestFit="1" customWidth="1"/>
    <col min="10" max="10" width="10.140625" bestFit="1" customWidth="1"/>
    <col min="11" max="11" width="20" bestFit="1" customWidth="1"/>
    <col min="15" max="15" width="18.28515625" bestFit="1" customWidth="1"/>
    <col min="26" max="26" width="12.42578125" bestFit="1" customWidth="1"/>
    <col min="29" max="29" width="9.85546875" customWidth="1"/>
    <col min="31" max="31" width="14" customWidth="1"/>
    <col min="32" max="33" width="12.42578125" bestFit="1" customWidth="1"/>
    <col min="34" max="34" width="13.5703125" customWidth="1"/>
    <col min="35" max="35" width="12.42578125" bestFit="1" customWidth="1"/>
    <col min="45" max="45" width="15" customWidth="1"/>
    <col min="49" max="49" width="12.42578125" bestFit="1" customWidth="1"/>
    <col min="52" max="52" width="12.7109375" customWidth="1"/>
    <col min="58" max="58" width="11.140625" customWidth="1"/>
    <col min="59" max="59" width="13" customWidth="1"/>
    <col min="60" max="60" width="15.28515625" customWidth="1"/>
    <col min="61" max="61" width="12.42578125" bestFit="1" customWidth="1"/>
    <col min="62" max="62" width="11.85546875" customWidth="1"/>
    <col min="63" max="63" width="13.5703125" customWidth="1"/>
    <col min="64" max="64" width="12.42578125" bestFit="1" customWidth="1"/>
    <col min="65" max="65" width="13" customWidth="1"/>
    <col min="68" max="68" width="12.42578125" bestFit="1" customWidth="1"/>
    <col min="72" max="72" width="12.42578125" bestFit="1" customWidth="1"/>
    <col min="75" max="75" width="13.42578125" customWidth="1"/>
    <col min="84" max="84" width="12.140625" customWidth="1"/>
    <col min="85" max="86" width="12.42578125" bestFit="1" customWidth="1"/>
    <col min="87" max="87" width="11.7109375" customWidth="1"/>
    <col min="88" max="88" width="13.7109375" customWidth="1"/>
    <col min="89" max="90" width="12.42578125" bestFit="1" customWidth="1"/>
    <col min="92" max="92" width="12" bestFit="1" customWidth="1"/>
    <col min="95" max="95" width="12.42578125" bestFit="1" customWidth="1"/>
    <col min="96" max="96" width="12" bestFit="1" customWidth="1"/>
    <col min="97" max="97" width="12.42578125" bestFit="1" customWidth="1"/>
    <col min="99" max="99" width="12" bestFit="1" customWidth="1"/>
    <col min="110" max="111" width="12.7109375" bestFit="1" customWidth="1"/>
    <col min="112" max="112" width="13.42578125" customWidth="1"/>
  </cols>
  <sheetData>
    <row r="1" spans="1:112" x14ac:dyDescent="0.25">
      <c r="A1" s="1" t="s">
        <v>0</v>
      </c>
      <c r="B1" s="30">
        <f>Interf_capact!B1</f>
        <v>1.8518518518518518E-4</v>
      </c>
      <c r="C1" s="1">
        <v>1</v>
      </c>
    </row>
    <row r="3" spans="1:112" ht="15.75" thickBot="1" x14ac:dyDescent="0.3"/>
    <row r="4" spans="1:112" ht="15.75" thickBot="1" x14ac:dyDescent="0.3">
      <c r="A4" t="s">
        <v>3</v>
      </c>
      <c r="CF4" s="27" t="s">
        <v>4</v>
      </c>
      <c r="CG4" s="28"/>
      <c r="CH4" s="10" t="b">
        <f>Interf_capact!J1</f>
        <v>0</v>
      </c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1"/>
      <c r="DD4" t="s">
        <v>229</v>
      </c>
    </row>
    <row r="5" spans="1:112" ht="15.75" thickBot="1" x14ac:dyDescent="0.3">
      <c r="CF5" s="34" t="s">
        <v>5</v>
      </c>
      <c r="CG5" s="67">
        <v>1.35</v>
      </c>
      <c r="CP5" s="131" t="s">
        <v>6</v>
      </c>
      <c r="CQ5" t="b">
        <f>Interf_capact!K1</f>
        <v>0</v>
      </c>
      <c r="DB5" s="12"/>
      <c r="DE5" t="s">
        <v>40</v>
      </c>
      <c r="DF5">
        <f>CK20</f>
        <v>0</v>
      </c>
      <c r="DH5" t="s">
        <v>28</v>
      </c>
    </row>
    <row r="6" spans="1:112" ht="15.75" thickBot="1" x14ac:dyDescent="0.3">
      <c r="C6" s="6"/>
      <c r="D6" s="10" t="s">
        <v>7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  <c r="U6" s="27" t="s">
        <v>8</v>
      </c>
      <c r="V6" s="4" t="str">
        <f>IF(X13&gt;=50,"pilha2","pilha1")</f>
        <v>pilha2</v>
      </c>
      <c r="W6" s="10"/>
      <c r="X6" s="10"/>
      <c r="Y6" s="11"/>
      <c r="Z6" s="6"/>
      <c r="AA6" s="11"/>
      <c r="AE6" s="43" t="s">
        <v>9</v>
      </c>
      <c r="AF6" s="44"/>
      <c r="AG6" s="33" t="str">
        <f>IF(AE12=1,"c1","c2")</f>
        <v>c2</v>
      </c>
      <c r="AH6" s="10"/>
      <c r="AI6" s="11"/>
      <c r="CF6" s="7" t="s">
        <v>10</v>
      </c>
      <c r="CG6">
        <f>IF(CG14=TRUE,CG5,AF26)</f>
        <v>2.5500000000000003</v>
      </c>
      <c r="CH6" t="s">
        <v>11</v>
      </c>
      <c r="CI6" t="s">
        <v>12</v>
      </c>
      <c r="CJ6">
        <f>8.85*10^-12</f>
        <v>8.8499999999999988E-12</v>
      </c>
      <c r="CY6" s="26" t="s">
        <v>13</v>
      </c>
      <c r="CZ6" s="132" t="s">
        <v>14</v>
      </c>
      <c r="DB6" s="12"/>
      <c r="DE6" t="s">
        <v>42</v>
      </c>
      <c r="DF6">
        <f>CN18</f>
        <v>1000</v>
      </c>
      <c r="DH6" t="e">
        <f>LARGE(DF11:DF18,1)</f>
        <v>#DIV/0!</v>
      </c>
    </row>
    <row r="7" spans="1:112" ht="15.75" thickBot="1" x14ac:dyDescent="0.3">
      <c r="C7" s="22">
        <v>51</v>
      </c>
      <c r="E7" s="23" t="s">
        <v>15</v>
      </c>
      <c r="S7" s="12"/>
      <c r="U7" s="7"/>
      <c r="Y7" s="12"/>
      <c r="Z7" s="7"/>
      <c r="AA7" s="12"/>
      <c r="AE7" s="7"/>
      <c r="AG7" s="6" t="s">
        <v>16</v>
      </c>
      <c r="AH7" s="10"/>
      <c r="AI7" s="11" t="b">
        <f>IF(AND($AG$6="c2",AE10=TIME(0,0,0)),TRUE)</f>
        <v>0</v>
      </c>
      <c r="CF7" s="7"/>
      <c r="CG7">
        <f>CG6/1000</f>
        <v>2.5500000000000002E-3</v>
      </c>
      <c r="CH7" t="s">
        <v>17</v>
      </c>
      <c r="CK7" s="84" t="s">
        <v>18</v>
      </c>
      <c r="CL7" s="84" t="s">
        <v>19</v>
      </c>
      <c r="CQ7" t="s">
        <v>20</v>
      </c>
      <c r="CR7" s="4">
        <f>CK8</f>
        <v>2.6029411764705879E-12</v>
      </c>
      <c r="CS7" t="s">
        <v>18</v>
      </c>
      <c r="CU7" t="s">
        <v>21</v>
      </c>
      <c r="CV7" t="s">
        <v>22</v>
      </c>
      <c r="CY7">
        <f>ABS(IF($CQ$5=TRUE,CN23,0))</f>
        <v>0</v>
      </c>
      <c r="CZ7">
        <f>ABS($CR$7*CY7*CY7/2)</f>
        <v>0</v>
      </c>
      <c r="DB7" s="12"/>
      <c r="DE7" t="s">
        <v>20</v>
      </c>
      <c r="DF7">
        <f t="shared" ref="DF7:DF8" si="0">CN19</f>
        <v>2.6029411764705879E-12</v>
      </c>
    </row>
    <row r="8" spans="1:112" ht="15.75" thickBot="1" x14ac:dyDescent="0.3">
      <c r="C8" s="4">
        <f>IF(AF29=TRUE,CG5,(C7)*0.05)</f>
        <v>2.5500000000000003</v>
      </c>
      <c r="D8" t="s">
        <v>10</v>
      </c>
      <c r="F8" t="s">
        <v>23</v>
      </c>
      <c r="G8" t="s">
        <v>24</v>
      </c>
      <c r="H8" t="s">
        <v>25</v>
      </c>
      <c r="J8" t="s">
        <v>26</v>
      </c>
      <c r="K8" t="s">
        <v>24</v>
      </c>
      <c r="L8" t="s">
        <v>25</v>
      </c>
      <c r="S8" s="12"/>
      <c r="U8" s="7"/>
      <c r="V8" s="6" t="s">
        <v>27</v>
      </c>
      <c r="W8" s="10" t="s">
        <v>21</v>
      </c>
      <c r="X8" s="11" t="s">
        <v>22</v>
      </c>
      <c r="Y8" s="12"/>
      <c r="Z8" s="7"/>
      <c r="AA8" s="12"/>
      <c r="AE8" s="38" t="s">
        <v>28</v>
      </c>
      <c r="AG8" s="34" t="s">
        <v>29</v>
      </c>
      <c r="AH8" s="45"/>
      <c r="AI8" s="35" t="b">
        <f>IF($AG$6="c3",TRUE)</f>
        <v>0</v>
      </c>
      <c r="CF8" s="7"/>
      <c r="CJ8" s="4" t="s">
        <v>20</v>
      </c>
      <c r="CK8" s="94">
        <f>CJ6*(CG10/CG7)</f>
        <v>2.6029411764705879E-12</v>
      </c>
      <c r="CL8" s="99" t="str">
        <f>FIXED(IF(CH4=TRUE,FIXED(CK8/10^-12,2),0),2)</f>
        <v>0,00</v>
      </c>
      <c r="CU8">
        <v>0</v>
      </c>
      <c r="CV8">
        <v>0.5</v>
      </c>
      <c r="CY8">
        <f t="shared" ref="CY8:CY15" si="1">ABS(IF($CQ$5=TRUE,CN24,0))</f>
        <v>0</v>
      </c>
      <c r="CZ8">
        <f t="shared" ref="CZ8:CZ15" si="2">ABS($CR$7*CY8*CY8/2)</f>
        <v>0</v>
      </c>
      <c r="DB8" s="12"/>
      <c r="DE8" t="s">
        <v>73</v>
      </c>
      <c r="DF8">
        <f t="shared" si="0"/>
        <v>2.6029411764705878E-9</v>
      </c>
    </row>
    <row r="9" spans="1:112" ht="15.75" thickBot="1" x14ac:dyDescent="0.3">
      <c r="C9" s="7"/>
      <c r="G9">
        <v>0.5</v>
      </c>
      <c r="H9">
        <v>9</v>
      </c>
      <c r="K9">
        <f>G9</f>
        <v>0.5</v>
      </c>
      <c r="L9">
        <v>0.5</v>
      </c>
      <c r="S9" s="12"/>
      <c r="U9" s="7"/>
      <c r="V9" s="8"/>
      <c r="W9" s="13">
        <f>IF(V6="pilha2",0,30)</f>
        <v>0</v>
      </c>
      <c r="X9" s="14">
        <f>W9</f>
        <v>0</v>
      </c>
      <c r="Y9" s="12"/>
      <c r="Z9" s="7"/>
      <c r="AA9" s="12"/>
      <c r="AE9" s="36">
        <f>D45</f>
        <v>1.8518518518518518E-4</v>
      </c>
      <c r="AG9" s="8" t="s">
        <v>30</v>
      </c>
      <c r="AH9" s="13"/>
      <c r="AI9" s="14" t="b">
        <f>IF($AG$6="c1",TRUE)</f>
        <v>0</v>
      </c>
      <c r="CF9" s="7" t="s">
        <v>31</v>
      </c>
      <c r="CG9">
        <v>750</v>
      </c>
      <c r="CH9" t="s">
        <v>32</v>
      </c>
      <c r="CQ9" t="s">
        <v>33</v>
      </c>
      <c r="CS9" s="4">
        <f>J59</f>
        <v>0</v>
      </c>
      <c r="CT9" t="s">
        <v>34</v>
      </c>
      <c r="CU9" s="25">
        <f>CU8+(CS18)</f>
        <v>0</v>
      </c>
      <c r="CV9">
        <f>CV8</f>
        <v>0.5</v>
      </c>
      <c r="CY9">
        <f t="shared" si="1"/>
        <v>0</v>
      </c>
      <c r="CZ9">
        <f t="shared" si="2"/>
        <v>0</v>
      </c>
      <c r="DB9" s="12"/>
    </row>
    <row r="10" spans="1:112" ht="15.75" thickBot="1" x14ac:dyDescent="0.3">
      <c r="C10" s="7"/>
      <c r="D10" t="s">
        <v>35</v>
      </c>
      <c r="G10">
        <v>6</v>
      </c>
      <c r="H10">
        <f>H9</f>
        <v>9</v>
      </c>
      <c r="K10">
        <v>6</v>
      </c>
      <c r="L10">
        <f>L9</f>
        <v>0.5</v>
      </c>
      <c r="S10" s="12"/>
      <c r="U10" s="7"/>
      <c r="V10" s="6" t="s">
        <v>36</v>
      </c>
      <c r="W10" s="10">
        <f>IF(V6="pilha1",0,30)</f>
        <v>30</v>
      </c>
      <c r="X10" s="11">
        <f>W10</f>
        <v>30</v>
      </c>
      <c r="Y10" s="12"/>
      <c r="Z10" s="7"/>
      <c r="AA10" s="12"/>
      <c r="AE10" s="37" t="str">
        <f>Interf_capact!A1</f>
        <v>99:99:99</v>
      </c>
      <c r="AI10" s="16" t="s">
        <v>37</v>
      </c>
      <c r="CF10" s="7"/>
      <c r="CG10">
        <f>CG9/1000000</f>
        <v>7.5000000000000002E-4</v>
      </c>
      <c r="CH10" t="s">
        <v>38</v>
      </c>
      <c r="CJ10" t="s">
        <v>39</v>
      </c>
      <c r="CQ10" t="s">
        <v>40</v>
      </c>
      <c r="CR10" s="4">
        <f>CK20</f>
        <v>0</v>
      </c>
      <c r="CS10" t="s">
        <v>13</v>
      </c>
      <c r="CY10">
        <f t="shared" si="1"/>
        <v>0</v>
      </c>
      <c r="CZ10">
        <f t="shared" si="2"/>
        <v>0</v>
      </c>
      <c r="DB10" s="12"/>
      <c r="DF10" t="s">
        <v>230</v>
      </c>
      <c r="DG10" t="s">
        <v>231</v>
      </c>
      <c r="DH10" t="s">
        <v>14</v>
      </c>
    </row>
    <row r="11" spans="1:112" ht="15.75" thickBot="1" x14ac:dyDescent="0.3">
      <c r="C11" s="7"/>
      <c r="D11">
        <v>4.9000000000000004</v>
      </c>
      <c r="S11" s="12"/>
      <c r="U11" s="7"/>
      <c r="V11" s="8"/>
      <c r="W11" s="13"/>
      <c r="X11" s="14"/>
      <c r="Y11" s="12"/>
      <c r="Z11" s="7"/>
      <c r="AA11" s="12"/>
      <c r="AE11" s="38" t="s">
        <v>41</v>
      </c>
      <c r="AI11" s="17" t="b" cm="1">
        <f t="array" ref="AI11">_xlfn.IFS(AI7=FALSE,TRUE,AI8=FALSE,TRUE,AI9=FALSE,TRUE)</f>
        <v>1</v>
      </c>
      <c r="CF11" s="7" t="s">
        <v>42</v>
      </c>
      <c r="CG11">
        <v>1000</v>
      </c>
      <c r="CH11" t="s">
        <v>43</v>
      </c>
      <c r="CK11">
        <v>0</v>
      </c>
      <c r="CL11">
        <v>0.5</v>
      </c>
      <c r="CY11">
        <f t="shared" si="1"/>
        <v>0</v>
      </c>
      <c r="CZ11">
        <f t="shared" si="2"/>
        <v>0</v>
      </c>
      <c r="DB11" s="12"/>
      <c r="DF11" s="15" t="e">
        <f>_xlfn.NUMBERVALUE(FIXED(DF22/10^-9,2))</f>
        <v>#DIV/0!</v>
      </c>
      <c r="DG11" s="15">
        <f>CR23</f>
        <v>0</v>
      </c>
      <c r="DH11" s="15">
        <f>_xlfn.NUMBERVALUE(FIXED(DH22/10^-12,2))</f>
        <v>0</v>
      </c>
    </row>
    <row r="12" spans="1:112" ht="15.75" thickBot="1" x14ac:dyDescent="0.3">
      <c r="C12" s="7"/>
      <c r="F12" t="s">
        <v>44</v>
      </c>
      <c r="G12" t="s">
        <v>24</v>
      </c>
      <c r="H12" t="s">
        <v>25</v>
      </c>
      <c r="J12" t="s">
        <v>45</v>
      </c>
      <c r="K12" t="s">
        <v>24</v>
      </c>
      <c r="L12" t="s">
        <v>25</v>
      </c>
      <c r="S12" s="12"/>
      <c r="U12" s="7"/>
      <c r="V12" t="s">
        <v>46</v>
      </c>
      <c r="X12" t="str">
        <f>FIXED(IF(X13=50,0,IF(X13&gt;50,IF(X13=100,1.5,X13*0.015),-1.5+X13*0.015)),3)</f>
        <v>0,000</v>
      </c>
      <c r="Y12" s="12"/>
      <c r="Z12" s="7"/>
      <c r="AA12" s="12"/>
      <c r="AE12" s="39">
        <f>Interf_capact!C1</f>
        <v>0</v>
      </c>
      <c r="AF12" s="13"/>
      <c r="AG12" s="13"/>
      <c r="AH12" s="13"/>
      <c r="AI12" s="14"/>
      <c r="CF12" s="7"/>
      <c r="CK12" s="15">
        <f>(CK11+CL8)/1.65</f>
        <v>0</v>
      </c>
      <c r="CL12">
        <f>CL11</f>
        <v>0.5</v>
      </c>
      <c r="CR12" t="s">
        <v>47</v>
      </c>
      <c r="CS12" t="b">
        <f>AF28</f>
        <v>1</v>
      </c>
      <c r="CY12">
        <f t="shared" si="1"/>
        <v>0</v>
      </c>
      <c r="CZ12">
        <f t="shared" si="2"/>
        <v>0</v>
      </c>
      <c r="DB12" s="12"/>
      <c r="DF12" s="15" t="e">
        <f t="shared" ref="DF12:DF19" si="3">_xlfn.NUMBERVALUE(FIXED(DF23/10^-9,2))</f>
        <v>#DIV/0!</v>
      </c>
      <c r="DG12" s="15">
        <f t="shared" ref="DG12:DG19" si="4">CR24</f>
        <v>0</v>
      </c>
      <c r="DH12" s="15">
        <f>_xlfn.NUMBERVALUE(FIXED(DH23/10^-12,2))</f>
        <v>0</v>
      </c>
    </row>
    <row r="13" spans="1:112" x14ac:dyDescent="0.25">
      <c r="C13" s="7"/>
      <c r="G13">
        <v>8</v>
      </c>
      <c r="H13">
        <v>8</v>
      </c>
      <c r="K13">
        <f>G13</f>
        <v>8</v>
      </c>
      <c r="L13">
        <f>D11-C8*0.5</f>
        <v>3.625</v>
      </c>
      <c r="S13" s="12"/>
      <c r="U13" s="7"/>
      <c r="V13" t="s">
        <v>48</v>
      </c>
      <c r="W13">
        <v>50</v>
      </c>
      <c r="X13">
        <f>100-W13</f>
        <v>50</v>
      </c>
      <c r="Y13" s="12"/>
      <c r="Z13" s="7"/>
      <c r="AA13" s="12"/>
      <c r="CF13" s="7" t="s">
        <v>47</v>
      </c>
      <c r="CG13" t="b">
        <f>AF28</f>
        <v>1</v>
      </c>
      <c r="CR13" t="s">
        <v>49</v>
      </c>
      <c r="CS13" t="b">
        <f>AF29</f>
        <v>0</v>
      </c>
      <c r="CY13">
        <f t="shared" si="1"/>
        <v>0</v>
      </c>
      <c r="CZ13">
        <f t="shared" si="2"/>
        <v>0</v>
      </c>
      <c r="DB13" s="12"/>
      <c r="DF13" s="15" t="e">
        <f t="shared" si="3"/>
        <v>#DIV/0!</v>
      </c>
      <c r="DG13" s="15">
        <f t="shared" si="4"/>
        <v>0</v>
      </c>
      <c r="DH13" s="15">
        <f t="shared" ref="DH13:DH19" si="5">_xlfn.NUMBERVALUE(FIXED(DH24/10^-12,2))</f>
        <v>0</v>
      </c>
    </row>
    <row r="14" spans="1:112" x14ac:dyDescent="0.25">
      <c r="C14" s="7"/>
      <c r="G14">
        <f>G13</f>
        <v>8</v>
      </c>
      <c r="H14">
        <f>D11+C8*0.5</f>
        <v>6.1750000000000007</v>
      </c>
      <c r="K14">
        <f>K13</f>
        <v>8</v>
      </c>
      <c r="L14">
        <v>1.5</v>
      </c>
      <c r="S14" s="12"/>
      <c r="U14" s="7"/>
      <c r="V14" t="s">
        <v>50</v>
      </c>
      <c r="W14">
        <f>IF(AF29=TRUE,X15,IF(X13=50,0,IF(X13&gt;50,IF(X13=100,1.5,X13*0.015),-1.5+X13*0.015)))</f>
        <v>0</v>
      </c>
      <c r="Y14" s="12"/>
      <c r="Z14" s="7"/>
      <c r="AA14" s="12"/>
      <c r="CF14" s="7" t="s">
        <v>49</v>
      </c>
      <c r="CG14" t="b">
        <f>AF29</f>
        <v>0</v>
      </c>
      <c r="CY14">
        <f t="shared" si="1"/>
        <v>0</v>
      </c>
      <c r="CZ14">
        <f t="shared" si="2"/>
        <v>0</v>
      </c>
      <c r="DB14" s="12"/>
      <c r="DF14" s="15" t="e">
        <f t="shared" si="3"/>
        <v>#DIV/0!</v>
      </c>
      <c r="DG14" s="15">
        <f t="shared" si="4"/>
        <v>0</v>
      </c>
      <c r="DH14" s="15">
        <f t="shared" si="5"/>
        <v>0</v>
      </c>
    </row>
    <row r="15" spans="1:112" ht="15.75" thickBot="1" x14ac:dyDescent="0.3">
      <c r="C15" s="7"/>
      <c r="S15" s="12"/>
      <c r="U15" s="8"/>
      <c r="V15" s="89" t="s">
        <v>51</v>
      </c>
      <c r="W15" s="89"/>
      <c r="X15" s="89">
        <v>-1.155</v>
      </c>
      <c r="Y15" s="14"/>
      <c r="Z15" s="8"/>
      <c r="AA15" s="14"/>
      <c r="CF15" s="7"/>
      <c r="CR15" t="s">
        <v>52</v>
      </c>
      <c r="CS15">
        <f>IF(AND(CS12=TRUE,CK22&lt;CK21),CR10,CS9)</f>
        <v>0</v>
      </c>
      <c r="CY15">
        <f t="shared" si="1"/>
        <v>0</v>
      </c>
      <c r="CZ15">
        <f t="shared" si="2"/>
        <v>0</v>
      </c>
      <c r="DB15" s="12"/>
      <c r="DF15" s="15" t="e">
        <f t="shared" si="3"/>
        <v>#DIV/0!</v>
      </c>
      <c r="DG15" s="15">
        <f t="shared" si="4"/>
        <v>0</v>
      </c>
      <c r="DH15" s="15">
        <f t="shared" si="5"/>
        <v>0</v>
      </c>
    </row>
    <row r="16" spans="1:112" ht="15.75" thickBot="1" x14ac:dyDescent="0.3">
      <c r="C16" s="7"/>
      <c r="F16" t="s">
        <v>53</v>
      </c>
      <c r="G16" t="s">
        <v>24</v>
      </c>
      <c r="H16" t="s">
        <v>25</v>
      </c>
      <c r="J16" t="s">
        <v>54</v>
      </c>
      <c r="K16" t="s">
        <v>24</v>
      </c>
      <c r="L16" t="s">
        <v>25</v>
      </c>
      <c r="S16" s="12"/>
      <c r="AV16" t="s">
        <v>55</v>
      </c>
      <c r="BF16" s="3" t="s">
        <v>56</v>
      </c>
      <c r="CF16" s="7"/>
      <c r="DB16" s="12"/>
      <c r="DF16" s="15" t="e">
        <f t="shared" si="3"/>
        <v>#DIV/0!</v>
      </c>
      <c r="DG16" s="15">
        <f t="shared" si="4"/>
        <v>0</v>
      </c>
      <c r="DH16" s="15">
        <f t="shared" si="5"/>
        <v>0</v>
      </c>
    </row>
    <row r="17" spans="3:112" ht="15.75" thickBot="1" x14ac:dyDescent="0.3">
      <c r="C17" s="7"/>
      <c r="G17">
        <v>10</v>
      </c>
      <c r="H17">
        <f>H10</f>
        <v>9</v>
      </c>
      <c r="K17">
        <v>10</v>
      </c>
      <c r="L17">
        <f>L10</f>
        <v>0.5</v>
      </c>
      <c r="S17" s="12"/>
      <c r="Z17" s="6"/>
      <c r="AA17" s="10"/>
      <c r="AB17" s="10"/>
      <c r="AC17" s="10"/>
      <c r="AD17" s="10"/>
      <c r="AE17" s="28" t="s">
        <v>57</v>
      </c>
      <c r="AF17" s="28"/>
      <c r="AG17" s="10"/>
      <c r="AH17" s="10"/>
      <c r="AI17" s="10"/>
      <c r="AJ17" s="10"/>
      <c r="AK17" s="10"/>
      <c r="AL17" s="10"/>
      <c r="AM17" s="10"/>
      <c r="AN17" s="10"/>
      <c r="AO17" s="10"/>
      <c r="AP17" s="76" t="s">
        <v>55</v>
      </c>
      <c r="AQ17" s="10"/>
      <c r="AR17" s="10"/>
      <c r="AS17" s="77" t="s">
        <v>58</v>
      </c>
      <c r="AT17" s="78">
        <f>AF26</f>
        <v>2.5500000000000003</v>
      </c>
      <c r="AU17" s="83">
        <v>4.75</v>
      </c>
      <c r="AV17" s="10">
        <f>AU17/4</f>
        <v>1.1875</v>
      </c>
      <c r="AW17" s="10"/>
      <c r="AX17" s="10"/>
      <c r="AY17" s="10"/>
      <c r="AZ17" s="10"/>
      <c r="BA17" s="10"/>
      <c r="BB17" s="10"/>
      <c r="BC17" s="10"/>
      <c r="BD17" s="11"/>
      <c r="BF17" s="85" t="s">
        <v>49</v>
      </c>
      <c r="BG17" s="10" t="b">
        <v>1</v>
      </c>
      <c r="BH17" s="10"/>
      <c r="BI17" s="10"/>
      <c r="BJ17" s="10"/>
      <c r="BK17" s="10"/>
      <c r="BL17" s="10"/>
      <c r="BM17" s="76" t="s">
        <v>55</v>
      </c>
      <c r="BN17" s="10"/>
      <c r="BO17" s="10"/>
      <c r="BP17" s="77" t="s">
        <v>58</v>
      </c>
      <c r="BQ17" s="78">
        <f>AT17</f>
        <v>2.5500000000000003</v>
      </c>
      <c r="BR17" s="83">
        <v>4.75</v>
      </c>
      <c r="BS17" s="10">
        <f>BR17/4</f>
        <v>1.1875</v>
      </c>
      <c r="BT17" s="10"/>
      <c r="BU17" s="10"/>
      <c r="BV17" s="10"/>
      <c r="BW17" s="10"/>
      <c r="BX17" s="10"/>
      <c r="BY17" s="10"/>
      <c r="BZ17" s="10"/>
      <c r="CA17" s="11"/>
      <c r="CF17" s="7"/>
      <c r="CR17" t="s">
        <v>14</v>
      </c>
      <c r="CS17">
        <f>CU8+((CR7*CS15*CS15)/2)</f>
        <v>0</v>
      </c>
      <c r="CT17" t="s">
        <v>59</v>
      </c>
      <c r="CU17" t="s">
        <v>60</v>
      </c>
      <c r="DB17" s="12"/>
      <c r="DF17" s="15" t="e">
        <f t="shared" si="3"/>
        <v>#DIV/0!</v>
      </c>
      <c r="DG17" s="15">
        <f t="shared" si="4"/>
        <v>0</v>
      </c>
      <c r="DH17" s="15">
        <f t="shared" si="5"/>
        <v>0</v>
      </c>
    </row>
    <row r="18" spans="3:112" ht="15.75" thickBot="1" x14ac:dyDescent="0.3">
      <c r="C18" s="7"/>
      <c r="G18">
        <v>16.7</v>
      </c>
      <c r="H18">
        <f>H17</f>
        <v>9</v>
      </c>
      <c r="K18">
        <v>17.2</v>
      </c>
      <c r="L18">
        <f>L17</f>
        <v>0.5</v>
      </c>
      <c r="S18" s="12"/>
      <c r="Z18" s="7"/>
      <c r="AH18" s="3" t="s">
        <v>61</v>
      </c>
      <c r="AM18" t="s">
        <v>62</v>
      </c>
      <c r="AO18">
        <v>4.3499999999999996</v>
      </c>
      <c r="AP18">
        <f>AO18/4</f>
        <v>1.0874999999999999</v>
      </c>
      <c r="AS18" s="3" t="s">
        <v>63</v>
      </c>
      <c r="BD18" s="12"/>
      <c r="BF18" s="7"/>
      <c r="BJ18" t="s">
        <v>62</v>
      </c>
      <c r="BL18">
        <v>4.3499999999999996</v>
      </c>
      <c r="BM18">
        <f>BL18/4</f>
        <v>1.0874999999999999</v>
      </c>
      <c r="BP18" s="3" t="s">
        <v>63</v>
      </c>
      <c r="CA18" s="12"/>
      <c r="CF18" s="7"/>
      <c r="CI18" s="131" t="s">
        <v>64</v>
      </c>
      <c r="CJ18" s="133"/>
      <c r="CK18" s="4" t="b">
        <f>IF(AND(AF29=TRUE,CK22&lt;CK21),TRUE,FALSE)</f>
        <v>0</v>
      </c>
      <c r="CM18" t="s">
        <v>42</v>
      </c>
      <c r="CN18">
        <f>CG11</f>
        <v>1000</v>
      </c>
      <c r="CS18" s="25">
        <f>IF(CQ5=TRUE,FIXED(CS17/10^-12,2),0)</f>
        <v>0</v>
      </c>
      <c r="CT18" t="s">
        <v>65</v>
      </c>
      <c r="CU18" s="98" t="str">
        <f>FIXED(CS18,2)</f>
        <v>0,00</v>
      </c>
      <c r="DB18" s="12"/>
      <c r="DF18" s="15" t="e">
        <f t="shared" si="3"/>
        <v>#DIV/0!</v>
      </c>
      <c r="DG18" s="15">
        <f t="shared" si="4"/>
        <v>0</v>
      </c>
      <c r="DH18" s="15">
        <f t="shared" si="5"/>
        <v>0</v>
      </c>
    </row>
    <row r="19" spans="3:112" ht="15.75" thickBot="1" x14ac:dyDescent="0.3">
      <c r="C19" s="7"/>
      <c r="S19" s="12"/>
      <c r="Z19" s="7"/>
      <c r="AE19" s="3" t="s">
        <v>66</v>
      </c>
      <c r="AF19" t="b">
        <f>Interf_capact!I1</f>
        <v>0</v>
      </c>
      <c r="AH19" s="86" t="s">
        <v>47</v>
      </c>
      <c r="AI19" s="6" t="s">
        <v>67</v>
      </c>
      <c r="AJ19" s="10" t="s">
        <v>21</v>
      </c>
      <c r="AK19" s="10" t="s">
        <v>22</v>
      </c>
      <c r="AL19" s="10"/>
      <c r="AM19" s="10" t="s">
        <v>68</v>
      </c>
      <c r="AN19" s="10" t="s">
        <v>21</v>
      </c>
      <c r="AO19" s="11" t="s">
        <v>22</v>
      </c>
      <c r="AS19" s="6" t="s">
        <v>67</v>
      </c>
      <c r="AT19" s="10" t="s">
        <v>21</v>
      </c>
      <c r="AU19" s="10" t="s">
        <v>22</v>
      </c>
      <c r="AV19" s="10"/>
      <c r="AW19" s="10" t="s">
        <v>68</v>
      </c>
      <c r="AX19" s="10" t="s">
        <v>21</v>
      </c>
      <c r="AY19" s="11" t="s">
        <v>22</v>
      </c>
      <c r="BD19" s="12"/>
      <c r="BF19" s="6" t="s">
        <v>69</v>
      </c>
      <c r="BG19" s="10" t="s">
        <v>21</v>
      </c>
      <c r="BH19" s="10" t="s">
        <v>22</v>
      </c>
      <c r="BI19" s="10"/>
      <c r="BJ19" s="10" t="s">
        <v>70</v>
      </c>
      <c r="BK19" s="10" t="s">
        <v>21</v>
      </c>
      <c r="BL19" s="11" t="s">
        <v>22</v>
      </c>
      <c r="BP19" s="6" t="s">
        <v>67</v>
      </c>
      <c r="BQ19" s="10" t="s">
        <v>21</v>
      </c>
      <c r="BR19" s="10" t="s">
        <v>22</v>
      </c>
      <c r="BS19" s="10"/>
      <c r="BT19" s="10" t="s">
        <v>68</v>
      </c>
      <c r="BU19" s="10" t="s">
        <v>21</v>
      </c>
      <c r="BV19" s="11" t="s">
        <v>22</v>
      </c>
      <c r="CA19" s="12"/>
      <c r="CF19" s="7"/>
      <c r="CM19" t="s">
        <v>20</v>
      </c>
      <c r="CN19">
        <f>CK8</f>
        <v>2.6029411764705879E-12</v>
      </c>
      <c r="DB19" s="12"/>
      <c r="DF19" s="15">
        <f t="shared" si="3"/>
        <v>0</v>
      </c>
      <c r="DG19" s="15">
        <f t="shared" si="4"/>
        <v>0</v>
      </c>
      <c r="DH19" s="15">
        <f t="shared" si="5"/>
        <v>0</v>
      </c>
    </row>
    <row r="20" spans="3:112" ht="15.75" thickBot="1" x14ac:dyDescent="0.3">
      <c r="C20" s="7"/>
      <c r="F20" s="6" t="s">
        <v>71</v>
      </c>
      <c r="G20" s="10" t="s">
        <v>24</v>
      </c>
      <c r="H20" s="11" t="s">
        <v>25</v>
      </c>
      <c r="S20" s="12"/>
      <c r="Z20" s="74" t="str">
        <f>F37</f>
        <v>condição dentro do interalo</v>
      </c>
      <c r="AA20" s="72"/>
      <c r="AB20" s="73"/>
      <c r="AE20" s="4" t="str">
        <f>IF(AF19=TRUE,"lig","desl")</f>
        <v>desl</v>
      </c>
      <c r="AG20" t="s">
        <v>72</v>
      </c>
      <c r="AI20" s="7"/>
      <c r="AJ20">
        <f>IF($AE$20="LIG",IF($AF$28=TRUE,IF(AG42=TRUE,IF($AF$22="desl",30,IF($AF$22=TRUE,AT20,AT33)),30),30),30)</f>
        <v>30</v>
      </c>
      <c r="AK20">
        <f t="shared" ref="AK20:AO21" si="6">IF($AF$22=TRUE,AU20,AU33)</f>
        <v>5.9250000000000007</v>
      </c>
      <c r="AN20">
        <f>IF($AE$20="LIG",IF($AF$28=TRUE,IF(AG44=TRUE,IF($AF$22="desl",30,IF($AF$22=TRUE,AX20,AX33)),30),30),30)</f>
        <v>30</v>
      </c>
      <c r="AO20" s="12">
        <f t="shared" si="6"/>
        <v>6.125</v>
      </c>
      <c r="AQ20" s="82" t="s">
        <v>25</v>
      </c>
      <c r="AS20" s="4" t="b">
        <f>AS26</f>
        <v>1</v>
      </c>
      <c r="AT20">
        <f>IF(AS20=TRUE,5.8,30)</f>
        <v>5.8</v>
      </c>
      <c r="AU20">
        <f>$AQ$21</f>
        <v>3.375</v>
      </c>
      <c r="AW20" s="4" t="b">
        <f>AW23</f>
        <v>1</v>
      </c>
      <c r="AX20">
        <f>IF(AW20=TRUE,5.8+$AP$18,30)</f>
        <v>6.8874999999999993</v>
      </c>
      <c r="AY20" s="12">
        <f>$AQ$21+0.1</f>
        <v>3.4750000000000001</v>
      </c>
      <c r="BD20" s="12"/>
      <c r="BF20" s="7"/>
      <c r="BG20">
        <f>IF($AE$20="LIG",IF($BG$17=TRUE,IF($AF$22="desl",30,IF($AF$22=TRUE,BQ20,BQ33)),30),30)</f>
        <v>30</v>
      </c>
      <c r="BH20">
        <f t="shared" ref="BH20:BH30" si="7">IF($AF$22=TRUE,BR20,BR33)</f>
        <v>5.9250000000000007</v>
      </c>
      <c r="BK20">
        <f>IF($AE$20="LIG",IF($BG$17=TRUE,IF($AF$22="desl",30,IF($AF$22=TRUE,BU20,BU33)),30),30)</f>
        <v>30</v>
      </c>
      <c r="BL20" s="12">
        <f t="shared" ref="BL20:BL30" si="8">IF($AF$22=TRUE,BV20,BV33)</f>
        <v>6.125</v>
      </c>
      <c r="BN20" s="82" t="s">
        <v>25</v>
      </c>
      <c r="BP20" s="4" t="b">
        <f>AS20</f>
        <v>1</v>
      </c>
      <c r="BQ20">
        <f>IF(BP21=TRUE,IF(BP20=TRUE,5.8,30),300)</f>
        <v>300</v>
      </c>
      <c r="BR20">
        <f>$AQ$21</f>
        <v>3.375</v>
      </c>
      <c r="BT20" s="4" t="b">
        <f>AW20</f>
        <v>1</v>
      </c>
      <c r="BU20">
        <f>IF(BL38=TRUE,IF(BT20=TRUE,5.8+$AP$18,30),30)</f>
        <v>30</v>
      </c>
      <c r="BV20" s="12">
        <f>$AQ$21+0.1</f>
        <v>3.4750000000000001</v>
      </c>
      <c r="CA20" s="12"/>
      <c r="CF20" s="7"/>
      <c r="CJ20" t="s">
        <v>40</v>
      </c>
      <c r="CK20">
        <f>ABS(W14)</f>
        <v>0</v>
      </c>
      <c r="CM20" t="s">
        <v>73</v>
      </c>
      <c r="CN20">
        <f>CN18*CN19</f>
        <v>2.6029411764705878E-9</v>
      </c>
      <c r="DB20" s="12"/>
    </row>
    <row r="21" spans="3:112" ht="15.75" thickBot="1" x14ac:dyDescent="0.3">
      <c r="C21" s="7"/>
      <c r="F21" s="21" t="str">
        <f>Interf_capact!$A$4</f>
        <v>C2</v>
      </c>
      <c r="G21">
        <f>IF($F$21="C1",J25,IF($F$21="C2",J27,IF($F$21="C3",J29,FALSE)))</f>
        <v>8</v>
      </c>
      <c r="H21" s="12">
        <f>IF($F$21="C1",K25,IF($F$21="C2",K27,IF($F$21="C3",K29,FALSE)))</f>
        <v>8</v>
      </c>
      <c r="S21" s="12"/>
      <c r="Z21" s="7" t="b">
        <f t="shared" ref="Z21:Z24" si="9">F38</f>
        <v>0</v>
      </c>
      <c r="AA21" s="3" t="s">
        <v>3</v>
      </c>
      <c r="AB21" s="12"/>
      <c r="AE21" t="s">
        <v>50</v>
      </c>
      <c r="AF21">
        <f>W14</f>
        <v>0</v>
      </c>
      <c r="AG21">
        <f>ABS(AF21)</f>
        <v>0</v>
      </c>
      <c r="AI21" s="7"/>
      <c r="AJ21">
        <f>IF($AE$20="LIG",IF($AF$28=TRUE,IF(AG42=TRUE,IF($AF$22="desl",30,IF($AF$22=TRUE,AT21,AT34)),30),30),30)</f>
        <v>30</v>
      </c>
      <c r="AK21">
        <f t="shared" si="6"/>
        <v>3.375</v>
      </c>
      <c r="AN21">
        <f>IF($AE$20="LIG",IF($AF$28=TRUE,IF(AG44=TRUE,IF($AF$22="desl",30,IF($AF$22=TRUE,AX21,AX34)),30),30),30)</f>
        <v>30</v>
      </c>
      <c r="AO21" s="12">
        <f t="shared" ref="AO21:AO30" si="10">IF($AF$22=TRUE,AY21,AY34)</f>
        <v>3.5249999999999999</v>
      </c>
      <c r="AQ21" s="79">
        <f>AH32-AQ26</f>
        <v>3.375</v>
      </c>
      <c r="AS21" s="7"/>
      <c r="AT21">
        <f>AT20</f>
        <v>5.8</v>
      </c>
      <c r="AU21">
        <f>$AQ$22</f>
        <v>5.9250000000000007</v>
      </c>
      <c r="AX21">
        <f>AX20</f>
        <v>6.8874999999999993</v>
      </c>
      <c r="AY21" s="12">
        <f>AY20+AT17</f>
        <v>6.0250000000000004</v>
      </c>
      <c r="BD21" s="12"/>
      <c r="BF21" s="7"/>
      <c r="BG21">
        <f t="shared" ref="BG21:BG30" si="11">IF($AE$20="LIG",IF($BG$17=TRUE,IF($AF$22="desl",30,IF($AF$22=TRUE,BQ21,BQ34)),30),30)</f>
        <v>30</v>
      </c>
      <c r="BH21">
        <f t="shared" si="7"/>
        <v>3.375</v>
      </c>
      <c r="BK21">
        <f t="shared" ref="BK21:BK30" si="12">IF($AE$20="LIG",IF($BG$17=TRUE,IF($AF$22="desl",30,IF($AF$22=TRUE,BU21,BU34)),30),30)</f>
        <v>30</v>
      </c>
      <c r="BL21" s="12">
        <f t="shared" si="8"/>
        <v>3.5249999999999999</v>
      </c>
      <c r="BN21" s="79">
        <f>BE32-BN26</f>
        <v>-0.25</v>
      </c>
      <c r="BP21" s="88" t="b">
        <f>BL37</f>
        <v>0</v>
      </c>
      <c r="BQ21">
        <f>BQ20</f>
        <v>300</v>
      </c>
      <c r="BR21">
        <f>$AQ$22</f>
        <v>5.9250000000000007</v>
      </c>
      <c r="BU21">
        <f>BU20</f>
        <v>30</v>
      </c>
      <c r="BV21" s="12">
        <f>BV20+BQ17</f>
        <v>6.0250000000000004</v>
      </c>
      <c r="CA21" s="12"/>
      <c r="CF21" s="7"/>
      <c r="CJ21" t="s">
        <v>74</v>
      </c>
      <c r="CK21" s="30">
        <f>B1</f>
        <v>1.8518518518518518E-4</v>
      </c>
      <c r="DB21" s="12"/>
      <c r="DF21" t="s">
        <v>84</v>
      </c>
    </row>
    <row r="22" spans="3:112" ht="15.75" thickBot="1" x14ac:dyDescent="0.3">
      <c r="C22" s="7"/>
      <c r="F22" s="8"/>
      <c r="G22" s="13">
        <f>IF($F$21="C1",J26,IF($F$21="C2",J28,IF($F$21="C3",J30,FALSE)))</f>
        <v>6</v>
      </c>
      <c r="H22" s="14">
        <f>IF($F$21="C1",K26,IF($F$21="C2",K28,IF($F$21="C3",K30,FALSE)))</f>
        <v>9</v>
      </c>
      <c r="S22" s="12"/>
      <c r="Z22" s="7" t="b">
        <f t="shared" si="9"/>
        <v>0</v>
      </c>
      <c r="AA22" s="3" t="s">
        <v>1</v>
      </c>
      <c r="AB22" s="12"/>
      <c r="AE22" s="3" t="s">
        <v>75</v>
      </c>
      <c r="AF22" s="4" t="str">
        <f>IF(W14=0,"desl",IF(W14&gt;0,TRUE,FALSE))</f>
        <v>desl</v>
      </c>
      <c r="AG22" s="5" t="s">
        <v>76</v>
      </c>
      <c r="AI22" s="7" t="s">
        <v>77</v>
      </c>
      <c r="AJ22" t="s">
        <v>21</v>
      </c>
      <c r="AK22" t="str">
        <f t="shared" ref="AK22:AK30" si="13">IF($AF$22=TRUE,AU22,AU35)</f>
        <v>y</v>
      </c>
      <c r="AM22" t="str">
        <f t="shared" ref="AM22:AM28" si="14">IF($AF$22=TRUE,AW22,AW35)</f>
        <v>raio2.1</v>
      </c>
      <c r="AN22" t="s">
        <v>21</v>
      </c>
      <c r="AO22" s="12" t="str">
        <f t="shared" si="10"/>
        <v>y</v>
      </c>
      <c r="AQ22" s="79">
        <f>AD33-AQ26</f>
        <v>5.9250000000000007</v>
      </c>
      <c r="AS22" s="7" t="s">
        <v>77</v>
      </c>
      <c r="AT22" t="s">
        <v>21</v>
      </c>
      <c r="AU22" t="s">
        <v>22</v>
      </c>
      <c r="AW22" t="s">
        <v>78</v>
      </c>
      <c r="AX22" t="s">
        <v>21</v>
      </c>
      <c r="AY22" s="12" t="s">
        <v>22</v>
      </c>
      <c r="AZ22" t="s">
        <v>79</v>
      </c>
      <c r="BA22" t="s">
        <v>21</v>
      </c>
      <c r="BB22" s="12" t="s">
        <v>22</v>
      </c>
      <c r="BD22" s="12"/>
      <c r="BF22" s="7" t="s">
        <v>80</v>
      </c>
      <c r="BG22" t="s">
        <v>21</v>
      </c>
      <c r="BH22" t="str">
        <f t="shared" si="7"/>
        <v>y</v>
      </c>
      <c r="BJ22" t="s">
        <v>81</v>
      </c>
      <c r="BK22" t="s">
        <v>21</v>
      </c>
      <c r="BL22" s="12" t="str">
        <f t="shared" si="8"/>
        <v>y</v>
      </c>
      <c r="BN22" s="79">
        <f>BA33-BN26</f>
        <v>-0.25</v>
      </c>
      <c r="BP22" s="7" t="s">
        <v>77</v>
      </c>
      <c r="BQ22" t="s">
        <v>21</v>
      </c>
      <c r="BR22" t="s">
        <v>22</v>
      </c>
      <c r="BT22" t="s">
        <v>78</v>
      </c>
      <c r="BU22" t="s">
        <v>21</v>
      </c>
      <c r="BV22" s="12" t="s">
        <v>22</v>
      </c>
      <c r="BW22" t="s">
        <v>79</v>
      </c>
      <c r="BX22" t="s">
        <v>21</v>
      </c>
      <c r="BY22" s="12" t="s">
        <v>22</v>
      </c>
      <c r="CA22" s="12"/>
      <c r="CF22" s="7"/>
      <c r="CI22" s="134" t="s">
        <v>82</v>
      </c>
      <c r="CJ22" s="7">
        <v>0</v>
      </c>
      <c r="CK22" s="18">
        <f>TIME(0,0,CJ22)</f>
        <v>0</v>
      </c>
      <c r="CL22" s="87" t="s">
        <v>83</v>
      </c>
      <c r="CN22" s="26" t="s">
        <v>13</v>
      </c>
      <c r="CO22" s="132" t="s">
        <v>84</v>
      </c>
      <c r="CQ22" t="s">
        <v>84</v>
      </c>
      <c r="CR22" t="s">
        <v>34</v>
      </c>
      <c r="DB22" s="12"/>
      <c r="DF22" t="e">
        <f>$DF$8*LN($DF$5/DG22)</f>
        <v>#DIV/0!</v>
      </c>
      <c r="DG22">
        <f>CR23</f>
        <v>0</v>
      </c>
      <c r="DH22">
        <f>$DF$7*(DG22^2)/2</f>
        <v>0</v>
      </c>
    </row>
    <row r="23" spans="3:112" ht="15.75" thickBot="1" x14ac:dyDescent="0.3">
      <c r="C23" s="7"/>
      <c r="S23" s="12"/>
      <c r="Z23" s="7" t="b">
        <f t="shared" si="9"/>
        <v>0</v>
      </c>
      <c r="AA23" s="3" t="s">
        <v>85</v>
      </c>
      <c r="AB23" s="12"/>
      <c r="AE23" s="3" t="s">
        <v>86</v>
      </c>
      <c r="AF23" s="4" t="str">
        <f>IF(W14=0,"desl",IF(W14&gt;0,FALSE,TRUE))</f>
        <v>desl</v>
      </c>
      <c r="AG23" s="5" t="s">
        <v>87</v>
      </c>
      <c r="AI23" s="7"/>
      <c r="AJ23">
        <f>IF($AE$20="LIG",IF($AF$28=TRUE,IF(AG42=TRUE,IF($AF$22="desl",30,IF($AF$22=TRUE,AT23,AT36)),30),30),30)</f>
        <v>30</v>
      </c>
      <c r="AK23">
        <f t="shared" si="13"/>
        <v>5.9250000000000007</v>
      </c>
      <c r="AN23">
        <f>IF($AE$20="LIG",IF($AF$28=TRUE,IF(AG44=TRUE,IF($AF$22="desl",30,IF($AF$22=TRUE,AX23,AX36)),30),30),30)</f>
        <v>30</v>
      </c>
      <c r="AO23" s="12">
        <f t="shared" si="10"/>
        <v>6.125</v>
      </c>
      <c r="AS23" s="4" t="b">
        <f>AS20</f>
        <v>1</v>
      </c>
      <c r="AT23">
        <f>IF(AS23=TRUE,9.25,30)</f>
        <v>9.25</v>
      </c>
      <c r="AU23">
        <f>$AQ$21</f>
        <v>3.375</v>
      </c>
      <c r="AW23" s="4" t="b">
        <f>AH38</f>
        <v>1</v>
      </c>
      <c r="AX23">
        <f>AX21+$AP$18*2-0.7</f>
        <v>8.3625000000000007</v>
      </c>
      <c r="AY23" s="12">
        <f>AY20</f>
        <v>3.4750000000000001</v>
      </c>
      <c r="AZ23" s="4"/>
      <c r="BA23">
        <f>5.8+AO18/2 -0.1</f>
        <v>7.875</v>
      </c>
      <c r="BB23" s="12">
        <f>AQ22</f>
        <v>5.9250000000000007</v>
      </c>
      <c r="BD23" s="12"/>
      <c r="BF23" s="7"/>
      <c r="BG23">
        <f t="shared" si="11"/>
        <v>30</v>
      </c>
      <c r="BH23">
        <f t="shared" si="7"/>
        <v>5.9250000000000007</v>
      </c>
      <c r="BK23">
        <f t="shared" si="12"/>
        <v>30</v>
      </c>
      <c r="BL23" s="12">
        <f t="shared" si="8"/>
        <v>6.125</v>
      </c>
      <c r="BP23" s="4" t="b">
        <f>BP20</f>
        <v>1</v>
      </c>
      <c r="BQ23">
        <f>BQ20+3.45</f>
        <v>303.45</v>
      </c>
      <c r="BR23">
        <f>$AQ$21</f>
        <v>3.375</v>
      </c>
      <c r="BT23" s="4" t="b">
        <f>BT20</f>
        <v>1</v>
      </c>
      <c r="BU23">
        <f>BU21+$AP$18*2-0.7</f>
        <v>31.474999999999998</v>
      </c>
      <c r="BV23" s="12">
        <f>BV20</f>
        <v>3.4750000000000001</v>
      </c>
      <c r="BW23" s="67" t="b">
        <f>BL36</f>
        <v>0</v>
      </c>
      <c r="BX23">
        <f>IF(BW23=TRUE,5.8+BL18/2 -0.1,30)</f>
        <v>30</v>
      </c>
      <c r="BY23" s="12">
        <f>BB24</f>
        <v>3.6250000000000004</v>
      </c>
      <c r="CA23" s="12"/>
      <c r="CF23" s="7"/>
      <c r="CI23">
        <v>1</v>
      </c>
      <c r="CJ23" s="7">
        <v>1</v>
      </c>
      <c r="CK23" s="18">
        <f>TIME(0,0,CJ23)</f>
        <v>1.1574074074074073E-5</v>
      </c>
      <c r="CL23" t="b">
        <f>IF($CK$21&gt;=CK23,TRUE,FALSE)</f>
        <v>1</v>
      </c>
      <c r="CN23" s="15">
        <f>IF($CK$18=TRUE,IF(CL23=TRUE,CR23,-300),-300)</f>
        <v>-300</v>
      </c>
      <c r="CO23" t="e">
        <f>ABS(IF(CN23=0,0,$CN$20*LN($CK$20/CN23)))</f>
        <v>#NUM!</v>
      </c>
      <c r="CQ23" t="e">
        <f>CO23</f>
        <v>#NUM!</v>
      </c>
      <c r="CR23">
        <f>ABS(H56)</f>
        <v>0</v>
      </c>
      <c r="DB23" s="12"/>
      <c r="DF23" t="e">
        <f t="shared" ref="DF23:DF29" si="15">$DF$8*LN($DF$5/DG23)</f>
        <v>#DIV/0!</v>
      </c>
      <c r="DG23">
        <f t="shared" ref="DG23:DG30" si="16">CR24</f>
        <v>0</v>
      </c>
      <c r="DH23">
        <f t="shared" ref="DH23:DH30" si="17">$DF$7*(DG23^2)/2</f>
        <v>0</v>
      </c>
    </row>
    <row r="24" spans="3:112" ht="15.75" thickBot="1" x14ac:dyDescent="0.3">
      <c r="C24" s="7"/>
      <c r="H24" t="s">
        <v>88</v>
      </c>
      <c r="J24" s="10" t="s">
        <v>24</v>
      </c>
      <c r="K24" s="11" t="s">
        <v>25</v>
      </c>
      <c r="M24" t="s">
        <v>89</v>
      </c>
      <c r="O24" s="10" t="s">
        <v>24</v>
      </c>
      <c r="P24" s="11" t="s">
        <v>25</v>
      </c>
      <c r="S24" s="12"/>
      <c r="Z24" s="8" t="b">
        <f t="shared" si="9"/>
        <v>0</v>
      </c>
      <c r="AA24" s="75" t="s">
        <v>90</v>
      </c>
      <c r="AB24" s="14"/>
      <c r="AF24" t="s">
        <v>91</v>
      </c>
      <c r="AG24" s="91" t="str">
        <f>IF(AE20="lig",IF(AF22="desl"," ",IF(AF28=TRUE,IF(AF22=TRUE,AG22,AG23)," "))," ")</f>
        <v xml:space="preserve"> </v>
      </c>
      <c r="AH24" s="33" t="str">
        <f>IF(AE20="lig",IF(AF23="desl"," ",IF(C64=TRUE," ",IF(AF28&lt;&gt;TRUE,IF(AF22=TRUE,AG22,AG23)," ")))," ")</f>
        <v xml:space="preserve"> </v>
      </c>
      <c r="AI24" s="7"/>
      <c r="AJ24">
        <f>IF($AE$20="LIG",IF($AF$28=TRUE,IF(AG42=TRUE,IF($AF$22="desl",30,IF($AF$22=TRUE,AT24,AT37)),30),30),30)</f>
        <v>30</v>
      </c>
      <c r="AK24">
        <f t="shared" si="13"/>
        <v>3.375</v>
      </c>
      <c r="AN24">
        <f>IF($AE$20="LIG",IF($AF$28=TRUE,IF(AG44=TRUE,IF($AF$22="desl",30,IF($AF$22=TRUE,AX24,AX37)),30),30),30)</f>
        <v>30</v>
      </c>
      <c r="AO24" s="12">
        <f t="shared" si="10"/>
        <v>3.5249999999999999</v>
      </c>
      <c r="AS24" s="7"/>
      <c r="AT24">
        <f>AT23</f>
        <v>9.25</v>
      </c>
      <c r="AU24">
        <f>$AQ$22</f>
        <v>5.9250000000000007</v>
      </c>
      <c r="AX24">
        <f>AX23</f>
        <v>8.3625000000000007</v>
      </c>
      <c r="AY24" s="12">
        <f>AY21</f>
        <v>6.0250000000000004</v>
      </c>
      <c r="BA24">
        <f>BA23</f>
        <v>7.875</v>
      </c>
      <c r="BB24" s="12">
        <f>BB23-AT17+0.25</f>
        <v>3.6250000000000004</v>
      </c>
      <c r="BD24" s="12"/>
      <c r="BF24" s="7"/>
      <c r="BG24">
        <f t="shared" si="11"/>
        <v>30</v>
      </c>
      <c r="BH24">
        <f t="shared" si="7"/>
        <v>3.375</v>
      </c>
      <c r="BK24">
        <f t="shared" si="12"/>
        <v>30</v>
      </c>
      <c r="BL24" s="12">
        <f t="shared" si="8"/>
        <v>3.5249999999999999</v>
      </c>
      <c r="BP24" s="7"/>
      <c r="BQ24">
        <f>BQ23</f>
        <v>303.45</v>
      </c>
      <c r="BR24">
        <f>$AQ$22</f>
        <v>5.9250000000000007</v>
      </c>
      <c r="BU24">
        <f>BU23</f>
        <v>31.474999999999998</v>
      </c>
      <c r="BV24" s="12">
        <f>BV21</f>
        <v>6.0250000000000004</v>
      </c>
      <c r="BX24">
        <f>BX23</f>
        <v>30</v>
      </c>
      <c r="BY24" s="12">
        <f>BB23</f>
        <v>5.9250000000000007</v>
      </c>
      <c r="CA24" s="12"/>
      <c r="CF24" s="7"/>
      <c r="CI24">
        <v>2</v>
      </c>
      <c r="CJ24" s="7">
        <v>3</v>
      </c>
      <c r="CK24" s="18">
        <f t="shared" ref="CK24:CK31" si="18">TIME(0,0,CJ24)</f>
        <v>3.4722222222222222E-5</v>
      </c>
      <c r="CL24" t="b">
        <f t="shared" ref="CL24:CL31" si="19">IF($CK$21&gt;=CK24,TRUE,FALSE)</f>
        <v>1</v>
      </c>
      <c r="CN24" s="15">
        <f t="shared" ref="CN24:CN31" si="20">IF($CK$18=TRUE,IF(CL24=TRUE,CR24,-300),-300)</f>
        <v>-300</v>
      </c>
      <c r="CO24" t="e">
        <f t="shared" ref="CO24:CO31" si="21">ABS(IF(CN24=0,0,$CN$20*LN($CK$20/CN24)))</f>
        <v>#NUM!</v>
      </c>
      <c r="CQ24" t="e">
        <f>CO24</f>
        <v>#NUM!</v>
      </c>
      <c r="CR24">
        <f t="shared" ref="CR24:CR31" si="22">ABS(H57)</f>
        <v>0</v>
      </c>
      <c r="DB24" s="12"/>
      <c r="DF24" t="e">
        <f t="shared" si="15"/>
        <v>#DIV/0!</v>
      </c>
      <c r="DG24">
        <f t="shared" si="16"/>
        <v>0</v>
      </c>
      <c r="DH24">
        <f t="shared" si="17"/>
        <v>0</v>
      </c>
    </row>
    <row r="25" spans="3:112" ht="15.75" thickBot="1" x14ac:dyDescent="0.3">
      <c r="C25" s="7"/>
      <c r="H25" s="24" t="s">
        <v>92</v>
      </c>
      <c r="I25" s="6" t="s">
        <v>3</v>
      </c>
      <c r="J25" s="10">
        <v>8</v>
      </c>
      <c r="K25" s="11">
        <v>8</v>
      </c>
      <c r="M25" s="24" t="s">
        <v>92</v>
      </c>
      <c r="N25" s="6" t="s">
        <v>3</v>
      </c>
      <c r="O25" s="10">
        <v>8</v>
      </c>
      <c r="P25" s="11">
        <v>1.5</v>
      </c>
      <c r="S25" s="12"/>
      <c r="Z25" s="93" t="b">
        <f>F42</f>
        <v>1</v>
      </c>
      <c r="AF25" t="s">
        <v>93</v>
      </c>
      <c r="AG25" s="92" t="str">
        <f>IF(AE20="lig",IF(AF22="desl"," ",IF(AF28=TRUE,IF(AF22=FALSE,AG22,AG23)," "))," ")</f>
        <v xml:space="preserve"> </v>
      </c>
      <c r="AH25" s="17" t="str">
        <f>IF(AE20="lig",IF(AF23="desl"," ",IF(Z25=TRUE," ",IF(AF28&lt;&gt;TRUE,IF(AF22=FALSE,AG22,AG23)," ")))," ")</f>
        <v xml:space="preserve"> </v>
      </c>
      <c r="AI25" s="7" t="s">
        <v>94</v>
      </c>
      <c r="AJ25" t="s">
        <v>21</v>
      </c>
      <c r="AK25" t="str">
        <f t="shared" si="13"/>
        <v>y</v>
      </c>
      <c r="AM25" t="str">
        <f t="shared" si="14"/>
        <v>raio3.1</v>
      </c>
      <c r="AN25" t="s">
        <v>21</v>
      </c>
      <c r="AO25" s="12" t="str">
        <f t="shared" si="10"/>
        <v>y</v>
      </c>
      <c r="AQ25" t="s">
        <v>95</v>
      </c>
      <c r="AS25" s="7" t="s">
        <v>94</v>
      </c>
      <c r="AT25" t="s">
        <v>21</v>
      </c>
      <c r="AU25" t="s">
        <v>22</v>
      </c>
      <c r="AW25" t="s">
        <v>96</v>
      </c>
      <c r="AX25" t="s">
        <v>21</v>
      </c>
      <c r="AY25" s="12" t="s">
        <v>22</v>
      </c>
      <c r="BD25" s="12"/>
      <c r="BF25" s="7" t="s">
        <v>97</v>
      </c>
      <c r="BG25" t="s">
        <v>21</v>
      </c>
      <c r="BH25" t="str">
        <f t="shared" si="7"/>
        <v>y</v>
      </c>
      <c r="BJ25" t="s">
        <v>98</v>
      </c>
      <c r="BK25" t="s">
        <v>21</v>
      </c>
      <c r="BL25" s="12" t="str">
        <f t="shared" si="8"/>
        <v>y</v>
      </c>
      <c r="BN25" t="s">
        <v>95</v>
      </c>
      <c r="BP25" s="7" t="s">
        <v>94</v>
      </c>
      <c r="BQ25" t="s">
        <v>21</v>
      </c>
      <c r="BR25" t="s">
        <v>22</v>
      </c>
      <c r="BT25" t="s">
        <v>96</v>
      </c>
      <c r="BU25" t="s">
        <v>21</v>
      </c>
      <c r="BV25" s="12" t="s">
        <v>22</v>
      </c>
      <c r="CA25" s="12"/>
      <c r="CF25" s="7"/>
      <c r="CI25">
        <v>3</v>
      </c>
      <c r="CJ25" s="7">
        <v>4</v>
      </c>
      <c r="CK25" s="18">
        <f t="shared" si="18"/>
        <v>4.6296296296296294E-5</v>
      </c>
      <c r="CL25" t="b">
        <f t="shared" si="19"/>
        <v>1</v>
      </c>
      <c r="CN25" s="15">
        <f t="shared" si="20"/>
        <v>-300</v>
      </c>
      <c r="CO25" t="e">
        <f t="shared" si="21"/>
        <v>#NUM!</v>
      </c>
      <c r="CQ25" t="e">
        <f t="shared" ref="CQ25:CQ31" si="23">CO25</f>
        <v>#NUM!</v>
      </c>
      <c r="CR25">
        <f t="shared" si="22"/>
        <v>0</v>
      </c>
      <c r="DB25" s="12"/>
      <c r="DF25" t="e">
        <f t="shared" si="15"/>
        <v>#DIV/0!</v>
      </c>
      <c r="DG25">
        <f t="shared" si="16"/>
        <v>0</v>
      </c>
      <c r="DH25">
        <f t="shared" si="17"/>
        <v>0</v>
      </c>
    </row>
    <row r="26" spans="3:112" ht="15.75" thickBot="1" x14ac:dyDescent="0.3">
      <c r="C26" s="7"/>
      <c r="H26" s="25"/>
      <c r="I26" s="8"/>
      <c r="J26" s="13">
        <v>10</v>
      </c>
      <c r="K26" s="14">
        <v>9</v>
      </c>
      <c r="M26" s="25"/>
      <c r="N26" s="8"/>
      <c r="O26" s="13">
        <v>10</v>
      </c>
      <c r="P26" s="14">
        <v>0.5</v>
      </c>
      <c r="S26" s="12"/>
      <c r="Z26" s="7"/>
      <c r="AE26" t="s">
        <v>58</v>
      </c>
      <c r="AF26" s="4">
        <f>C8</f>
        <v>2.5500000000000003</v>
      </c>
      <c r="AI26" s="7"/>
      <c r="AJ26">
        <f>IF($AE$20="LIG",IF($AF$28=TRUE,IF(AG43=TRUE,IF($AF$22="desl",30,IF($AF$22=TRUE,AT26,AT39)),30),30),30)</f>
        <v>30</v>
      </c>
      <c r="AK26">
        <f t="shared" si="13"/>
        <v>6.4750000000000005</v>
      </c>
      <c r="AN26">
        <f>IF($AE$20="LIG",IF($AF$28=TRUE,IF(AG45=TRUE,IF($AF$22="desl",30,IF($AF$22=TRUE,AX26,AX39)),30),30),30)</f>
        <v>30</v>
      </c>
      <c r="AO26" s="12">
        <f t="shared" si="10"/>
        <v>6.4749999999999996</v>
      </c>
      <c r="AQ26">
        <v>0.25</v>
      </c>
      <c r="AS26" s="4" t="b">
        <f>AS29</f>
        <v>1</v>
      </c>
      <c r="AT26">
        <f>IF(AS26=TRUE,10.15,30)</f>
        <v>10.15</v>
      </c>
      <c r="AU26">
        <f>$AQ$21+0.55</f>
        <v>3.9249999999999998</v>
      </c>
      <c r="AW26" s="4" t="b">
        <f>AW29</f>
        <v>1</v>
      </c>
      <c r="AX26">
        <f>IF(AW26=TRUE,5.8+$AP$18+$AP$18-0.5,30)</f>
        <v>7.4749999999999996</v>
      </c>
      <c r="AY26" s="12">
        <f>AY23+0.3</f>
        <v>3.7749999999999999</v>
      </c>
      <c r="BD26" s="12"/>
      <c r="BF26" s="7"/>
      <c r="BG26">
        <f t="shared" si="11"/>
        <v>30</v>
      </c>
      <c r="BH26">
        <f t="shared" si="7"/>
        <v>6.4750000000000005</v>
      </c>
      <c r="BK26">
        <f t="shared" si="12"/>
        <v>30</v>
      </c>
      <c r="BL26" s="12">
        <f t="shared" si="8"/>
        <v>6.4749999999999996</v>
      </c>
      <c r="BN26">
        <v>0.25</v>
      </c>
      <c r="BP26" s="4" t="b">
        <f>AS26</f>
        <v>1</v>
      </c>
      <c r="BQ26">
        <f>IF(BP27=TRUE,IF(BP26=TRUE,10.15,30),30)</f>
        <v>30</v>
      </c>
      <c r="BR26">
        <f>$AQ$21+0.55</f>
        <v>3.9249999999999998</v>
      </c>
      <c r="BT26" s="4" t="b">
        <f>AW26</f>
        <v>1</v>
      </c>
      <c r="BU26">
        <f>IF(BL39=TRUE,IF(BT26=TRUE,5.8+$AP$18+$AP$18-0.5,30),30)</f>
        <v>30</v>
      </c>
      <c r="BV26" s="12">
        <f>BV23+0.3</f>
        <v>3.7749999999999999</v>
      </c>
      <c r="CA26" s="12"/>
      <c r="CF26" s="7"/>
      <c r="CI26">
        <v>4</v>
      </c>
      <c r="CJ26" s="7">
        <v>6</v>
      </c>
      <c r="CK26" s="18">
        <f t="shared" si="18"/>
        <v>6.9444444444444444E-5</v>
      </c>
      <c r="CL26" t="b">
        <f t="shared" si="19"/>
        <v>1</v>
      </c>
      <c r="CN26" s="15">
        <f t="shared" si="20"/>
        <v>-300</v>
      </c>
      <c r="CO26" t="e">
        <f t="shared" si="21"/>
        <v>#NUM!</v>
      </c>
      <c r="CQ26" t="e">
        <f t="shared" si="23"/>
        <v>#NUM!</v>
      </c>
      <c r="CR26">
        <f t="shared" si="22"/>
        <v>0</v>
      </c>
      <c r="DB26" s="12"/>
      <c r="DF26" t="e">
        <f t="shared" si="15"/>
        <v>#DIV/0!</v>
      </c>
      <c r="DG26">
        <f t="shared" si="16"/>
        <v>0</v>
      </c>
      <c r="DH26">
        <f t="shared" si="17"/>
        <v>0</v>
      </c>
    </row>
    <row r="27" spans="3:112" ht="15.75" thickBot="1" x14ac:dyDescent="0.3">
      <c r="C27" s="7"/>
      <c r="H27" s="24" t="s">
        <v>99</v>
      </c>
      <c r="I27" s="6" t="s">
        <v>1</v>
      </c>
      <c r="J27" s="10">
        <v>8</v>
      </c>
      <c r="K27" s="11">
        <v>8</v>
      </c>
      <c r="M27" s="24" t="s">
        <v>99</v>
      </c>
      <c r="N27" s="6" t="s">
        <v>1</v>
      </c>
      <c r="O27" s="10">
        <v>8</v>
      </c>
      <c r="P27" s="11">
        <v>1.5</v>
      </c>
      <c r="S27" s="12"/>
      <c r="Z27" s="7"/>
      <c r="AI27" s="7"/>
      <c r="AJ27">
        <f t="shared" ref="AJ27" si="24">IF($AE$20="LIG",IF($AF$28=TRUE,IF($AF$22="desl",30,IF($AF$22=TRUE,AT27,AT40)),30),30)</f>
        <v>30</v>
      </c>
      <c r="AK27">
        <f t="shared" si="13"/>
        <v>4.0250000000000004</v>
      </c>
      <c r="AN27">
        <f>IF($AE$20="LIG",IF($AF$28=TRUE,IF(AG45=TRUE,IF($AF$22="desl",30,IF($AF$22=TRUE,AX27,AX40)),30),30),30)</f>
        <v>30</v>
      </c>
      <c r="AO27" s="12">
        <f t="shared" si="10"/>
        <v>3.7749999999999999</v>
      </c>
      <c r="AS27" s="7"/>
      <c r="AT27">
        <f>AT26</f>
        <v>10.15</v>
      </c>
      <c r="AU27">
        <f>$AQ$22+0.5</f>
        <v>6.4250000000000007</v>
      </c>
      <c r="AX27">
        <f>AX26</f>
        <v>7.4749999999999996</v>
      </c>
      <c r="AY27" s="12">
        <f>AY26+AT17</f>
        <v>6.3250000000000002</v>
      </c>
      <c r="BD27" s="12"/>
      <c r="BF27" s="7"/>
      <c r="BG27">
        <f t="shared" si="11"/>
        <v>30</v>
      </c>
      <c r="BH27">
        <f t="shared" si="7"/>
        <v>3.875</v>
      </c>
      <c r="BK27">
        <f t="shared" si="12"/>
        <v>30</v>
      </c>
      <c r="BL27" s="12">
        <f t="shared" si="8"/>
        <v>3.7749999999999999</v>
      </c>
      <c r="BP27" s="88" t="b">
        <f>BL37</f>
        <v>0</v>
      </c>
      <c r="BQ27">
        <f>BQ26</f>
        <v>30</v>
      </c>
      <c r="BR27">
        <f>$AQ$22+0.5</f>
        <v>6.4250000000000007</v>
      </c>
      <c r="BU27">
        <f>BU26</f>
        <v>30</v>
      </c>
      <c r="BV27" s="12">
        <f>BV26+BQ17</f>
        <v>6.3250000000000002</v>
      </c>
      <c r="CA27" s="12"/>
      <c r="CF27" s="7"/>
      <c r="CI27">
        <v>5</v>
      </c>
      <c r="CJ27" s="7">
        <v>7</v>
      </c>
      <c r="CK27" s="18">
        <f t="shared" si="18"/>
        <v>8.1018518518518516E-5</v>
      </c>
      <c r="CL27" t="b">
        <f t="shared" si="19"/>
        <v>1</v>
      </c>
      <c r="CN27" s="15">
        <f t="shared" si="20"/>
        <v>-300</v>
      </c>
      <c r="CO27" t="e">
        <f t="shared" si="21"/>
        <v>#NUM!</v>
      </c>
      <c r="CQ27" t="e">
        <f t="shared" si="23"/>
        <v>#NUM!</v>
      </c>
      <c r="CR27">
        <f t="shared" si="22"/>
        <v>0</v>
      </c>
      <c r="DB27" s="12"/>
      <c r="DF27" t="e">
        <f t="shared" si="15"/>
        <v>#DIV/0!</v>
      </c>
      <c r="DG27">
        <f t="shared" si="16"/>
        <v>0</v>
      </c>
      <c r="DH27">
        <f t="shared" si="17"/>
        <v>0</v>
      </c>
    </row>
    <row r="28" spans="3:112" ht="15.75" thickBot="1" x14ac:dyDescent="0.3">
      <c r="C28" s="7"/>
      <c r="H28" s="24"/>
      <c r="I28" s="8"/>
      <c r="J28" s="13">
        <v>6</v>
      </c>
      <c r="K28" s="14">
        <v>9</v>
      </c>
      <c r="M28" s="24"/>
      <c r="N28" s="8"/>
      <c r="O28" s="13">
        <v>6</v>
      </c>
      <c r="P28" s="14">
        <v>0.5</v>
      </c>
      <c r="S28" s="12"/>
      <c r="Z28" s="7"/>
      <c r="AE28" s="3" t="s">
        <v>47</v>
      </c>
      <c r="AF28" s="4" t="b">
        <f>IF(AG6="c2",TRUE,FALSE)</f>
        <v>1</v>
      </c>
      <c r="AI28" s="7" t="s">
        <v>100</v>
      </c>
      <c r="AJ28" t="s">
        <v>21</v>
      </c>
      <c r="AK28" t="str">
        <f t="shared" si="13"/>
        <v>y</v>
      </c>
      <c r="AM28" t="str">
        <f t="shared" si="14"/>
        <v>raio4.1</v>
      </c>
      <c r="AN28" t="s">
        <v>21</v>
      </c>
      <c r="AO28" s="12" t="str">
        <f t="shared" si="10"/>
        <v>y</v>
      </c>
      <c r="AS28" s="7" t="s">
        <v>100</v>
      </c>
      <c r="AT28" t="s">
        <v>21</v>
      </c>
      <c r="AU28" t="s">
        <v>22</v>
      </c>
      <c r="AW28" t="s">
        <v>101</v>
      </c>
      <c r="AX28" t="s">
        <v>21</v>
      </c>
      <c r="AY28" s="12" t="s">
        <v>22</v>
      </c>
      <c r="BD28" s="12"/>
      <c r="BF28" s="7" t="s">
        <v>102</v>
      </c>
      <c r="BG28" t="s">
        <v>21</v>
      </c>
      <c r="BH28" t="str">
        <f t="shared" si="7"/>
        <v>y</v>
      </c>
      <c r="BJ28" t="s">
        <v>103</v>
      </c>
      <c r="BK28" t="s">
        <v>21</v>
      </c>
      <c r="BL28" s="12" t="str">
        <f t="shared" si="8"/>
        <v>y</v>
      </c>
      <c r="BP28" s="7" t="s">
        <v>100</v>
      </c>
      <c r="BQ28" t="s">
        <v>21</v>
      </c>
      <c r="BR28" t="s">
        <v>22</v>
      </c>
      <c r="BT28" t="s">
        <v>101</v>
      </c>
      <c r="BU28" t="s">
        <v>21</v>
      </c>
      <c r="BV28" s="12" t="s">
        <v>22</v>
      </c>
      <c r="CA28" s="12"/>
      <c r="CF28" s="7"/>
      <c r="CI28">
        <v>6</v>
      </c>
      <c r="CJ28" s="7">
        <v>8</v>
      </c>
      <c r="CK28" s="18">
        <f t="shared" si="18"/>
        <v>9.2592592592592588E-5</v>
      </c>
      <c r="CL28" t="b">
        <f t="shared" si="19"/>
        <v>1</v>
      </c>
      <c r="CN28" s="15">
        <f t="shared" si="20"/>
        <v>-300</v>
      </c>
      <c r="CO28" t="e">
        <f t="shared" si="21"/>
        <v>#NUM!</v>
      </c>
      <c r="CQ28" t="e">
        <f t="shared" si="23"/>
        <v>#NUM!</v>
      </c>
      <c r="CR28">
        <f t="shared" si="22"/>
        <v>0</v>
      </c>
      <c r="DB28" s="12"/>
      <c r="DF28" t="e">
        <f t="shared" si="15"/>
        <v>#DIV/0!</v>
      </c>
      <c r="DG28">
        <f t="shared" si="16"/>
        <v>0</v>
      </c>
      <c r="DH28">
        <f t="shared" si="17"/>
        <v>0</v>
      </c>
    </row>
    <row r="29" spans="3:112" ht="15.75" thickBot="1" x14ac:dyDescent="0.3">
      <c r="C29" s="7"/>
      <c r="H29" s="24" t="s">
        <v>104</v>
      </c>
      <c r="I29" s="6" t="s">
        <v>85</v>
      </c>
      <c r="J29" s="10">
        <v>8</v>
      </c>
      <c r="K29" s="11">
        <v>8</v>
      </c>
      <c r="M29" s="24" t="s">
        <v>104</v>
      </c>
      <c r="N29" s="6" t="s">
        <v>85</v>
      </c>
      <c r="O29" s="10">
        <v>8</v>
      </c>
      <c r="P29" s="11">
        <v>1.5</v>
      </c>
      <c r="S29" s="12"/>
      <c r="Z29" s="7"/>
      <c r="AE29" s="3" t="s">
        <v>49</v>
      </c>
      <c r="AF29" s="4" t="b">
        <f>IF(AG6="c1",TRUE,FALSE)</f>
        <v>0</v>
      </c>
      <c r="AI29" s="7"/>
      <c r="AJ29">
        <f>IF($AE$20="LIG",IF($AF$28=TRUE,IF(AG43=TRUE,IF($AF$22="desl",30,IF($AF$22=TRUE,AT29,AT42)),30),30),30)</f>
        <v>30</v>
      </c>
      <c r="AK29">
        <f t="shared" si="13"/>
        <v>6.4750000000000005</v>
      </c>
      <c r="AN29">
        <f>IF($AE$20="LIG",IF($AF$28=TRUE,IF(AG45=TRUE,IF($AF$22="desl",30,IF($AF$22=TRUE,AX29,AX42)),30),30),30)</f>
        <v>30</v>
      </c>
      <c r="AO29" s="12">
        <f t="shared" si="10"/>
        <v>6.4749999999999996</v>
      </c>
      <c r="AS29" s="4" t="b">
        <f>AH37</f>
        <v>1</v>
      </c>
      <c r="AT29">
        <f>IF(AS29=TRUE,6.65,30)</f>
        <v>6.65</v>
      </c>
      <c r="AU29">
        <f>$AQ$21+0.55</f>
        <v>3.9249999999999998</v>
      </c>
      <c r="AW29" s="4" t="b">
        <f>AH39</f>
        <v>1</v>
      </c>
      <c r="AX29">
        <f>IF(AW29=TRUE,5.8+$AP$18+$AP$18*2-0.7+$AP$18-0.5,30)</f>
        <v>8.9500000000000011</v>
      </c>
      <c r="AY29" s="12">
        <f>AY26</f>
        <v>3.7749999999999999</v>
      </c>
      <c r="BD29" s="12"/>
      <c r="BF29" s="7"/>
      <c r="BG29">
        <f t="shared" si="11"/>
        <v>30</v>
      </c>
      <c r="BH29">
        <f t="shared" si="7"/>
        <v>6.4750000000000005</v>
      </c>
      <c r="BK29">
        <f t="shared" si="12"/>
        <v>30</v>
      </c>
      <c r="BL29" s="12">
        <f t="shared" si="8"/>
        <v>6.4749999999999996</v>
      </c>
      <c r="BP29" s="4" t="b">
        <f>BP26</f>
        <v>1</v>
      </c>
      <c r="BQ29">
        <f>IF(BL37=TRUE,IF(BP29=TRUE,6.65,30),30)</f>
        <v>30</v>
      </c>
      <c r="BR29">
        <f>$AQ$21+0.55</f>
        <v>3.9249999999999998</v>
      </c>
      <c r="BT29" s="4" t="b">
        <f>BT26</f>
        <v>1</v>
      </c>
      <c r="BU29">
        <f>IF(BL39=TRUE,IF(BT29=TRUE,5.8+$AP$18+$AP$18*2-0.7+$AP$18-0.5,30),30)</f>
        <v>30</v>
      </c>
      <c r="BV29" s="12">
        <f>BV26</f>
        <v>3.7749999999999999</v>
      </c>
      <c r="CA29" s="12"/>
      <c r="CF29" s="7"/>
      <c r="CI29">
        <v>7</v>
      </c>
      <c r="CJ29" s="7">
        <v>9</v>
      </c>
      <c r="CK29" s="18">
        <f t="shared" si="18"/>
        <v>1.0416666666666667E-4</v>
      </c>
      <c r="CL29" t="b">
        <f t="shared" si="19"/>
        <v>1</v>
      </c>
      <c r="CN29" s="15">
        <f t="shared" si="20"/>
        <v>-300</v>
      </c>
      <c r="CO29" t="e">
        <f t="shared" si="21"/>
        <v>#NUM!</v>
      </c>
      <c r="CQ29" t="e">
        <f t="shared" si="23"/>
        <v>#NUM!</v>
      </c>
      <c r="CR29">
        <f t="shared" si="22"/>
        <v>0</v>
      </c>
      <c r="DB29" s="12"/>
      <c r="DF29" t="e">
        <f t="shared" si="15"/>
        <v>#DIV/0!</v>
      </c>
      <c r="DG29">
        <f t="shared" si="16"/>
        <v>0</v>
      </c>
      <c r="DH29">
        <f t="shared" si="17"/>
        <v>0</v>
      </c>
    </row>
    <row r="30" spans="3:112" ht="15.75" thickBot="1" x14ac:dyDescent="0.3">
      <c r="C30" s="7" t="s">
        <v>10</v>
      </c>
      <c r="I30" s="8"/>
      <c r="J30" s="13">
        <v>8</v>
      </c>
      <c r="K30" s="14">
        <v>9.5</v>
      </c>
      <c r="N30" s="8"/>
      <c r="O30" s="13">
        <v>8</v>
      </c>
      <c r="P30" s="14">
        <v>0.1</v>
      </c>
      <c r="S30" s="12"/>
      <c r="Z30" s="7"/>
      <c r="AB30" s="3" t="s">
        <v>105</v>
      </c>
      <c r="AC30" s="3"/>
      <c r="AD30" s="3"/>
      <c r="AI30" s="8"/>
      <c r="AJ30">
        <f>IF($AE$20="LIG",IF($AF$28=TRUE,IF(AG43=TRUE,IF($AF$22="desl",30,IF($AF$22=TRUE,AT30,AT43)),30),30),30)</f>
        <v>30</v>
      </c>
      <c r="AK30" s="13">
        <f t="shared" si="13"/>
        <v>3.9750000000000001</v>
      </c>
      <c r="AL30" s="13"/>
      <c r="AM30" s="13"/>
      <c r="AN30">
        <f>IF($AE$20="LIG",IF($AF$28=TRUE,IF(AG45=TRUE,IF($AF$22="desl",30,IF($AF$22=TRUE,AX30,AX43)),30),30),30)</f>
        <v>30</v>
      </c>
      <c r="AO30" s="14">
        <f t="shared" si="10"/>
        <v>3.7749999999999999</v>
      </c>
      <c r="AS30" s="8"/>
      <c r="AT30" s="13">
        <f>AT29</f>
        <v>6.65</v>
      </c>
      <c r="AU30" s="13">
        <f>$AQ$22+0.5</f>
        <v>6.4250000000000007</v>
      </c>
      <c r="AV30" s="13"/>
      <c r="AW30" s="13"/>
      <c r="AX30" s="13">
        <f>AX29</f>
        <v>8.9500000000000011</v>
      </c>
      <c r="AY30" s="12">
        <f>AY27</f>
        <v>6.3250000000000002</v>
      </c>
      <c r="BD30" s="12"/>
      <c r="BF30" s="8"/>
      <c r="BG30">
        <f t="shared" si="11"/>
        <v>30</v>
      </c>
      <c r="BH30" s="13">
        <f t="shared" si="7"/>
        <v>3.875</v>
      </c>
      <c r="BI30" s="13"/>
      <c r="BJ30" s="13"/>
      <c r="BK30">
        <f t="shared" si="12"/>
        <v>30</v>
      </c>
      <c r="BL30" s="14">
        <f t="shared" si="8"/>
        <v>3.7749999999999999</v>
      </c>
      <c r="BP30" s="8"/>
      <c r="BQ30" s="13">
        <f>BQ29</f>
        <v>30</v>
      </c>
      <c r="BR30" s="13">
        <f>$AQ$22+0.5</f>
        <v>6.4250000000000007</v>
      </c>
      <c r="BS30" s="13"/>
      <c r="BT30" s="13"/>
      <c r="BU30" s="13">
        <f>BU29</f>
        <v>30</v>
      </c>
      <c r="BV30" s="12">
        <f>BV27</f>
        <v>6.3250000000000002</v>
      </c>
      <c r="CA30" s="12"/>
      <c r="CF30" s="7"/>
      <c r="CI30">
        <v>8</v>
      </c>
      <c r="CJ30" s="7">
        <v>10</v>
      </c>
      <c r="CK30" s="18">
        <f t="shared" si="18"/>
        <v>1.1574074074074073E-4</v>
      </c>
      <c r="CL30" t="b">
        <f t="shared" si="19"/>
        <v>1</v>
      </c>
      <c r="CN30" s="15">
        <f t="shared" si="20"/>
        <v>-300</v>
      </c>
      <c r="CO30" t="e">
        <f t="shared" si="21"/>
        <v>#NUM!</v>
      </c>
      <c r="CQ30" t="e">
        <f t="shared" si="23"/>
        <v>#NUM!</v>
      </c>
      <c r="CR30">
        <f t="shared" si="22"/>
        <v>0</v>
      </c>
      <c r="DB30" s="12"/>
      <c r="DF30">
        <v>0</v>
      </c>
      <c r="DG30">
        <f t="shared" si="16"/>
        <v>0</v>
      </c>
      <c r="DH30">
        <f t="shared" si="17"/>
        <v>0</v>
      </c>
    </row>
    <row r="31" spans="3:112" ht="15.75" thickBot="1" x14ac:dyDescent="0.3">
      <c r="C31" s="7">
        <f>C8</f>
        <v>2.5500000000000003</v>
      </c>
      <c r="S31" s="12"/>
      <c r="Z31" s="7"/>
      <c r="AB31" s="6" t="s">
        <v>44</v>
      </c>
      <c r="AC31" s="10" t="s">
        <v>24</v>
      </c>
      <c r="AD31" s="10" t="s">
        <v>25</v>
      </c>
      <c r="AE31" s="10"/>
      <c r="AF31" s="10" t="s">
        <v>45</v>
      </c>
      <c r="AG31" s="10" t="s">
        <v>24</v>
      </c>
      <c r="AH31" s="11" t="s">
        <v>25</v>
      </c>
      <c r="AI31" s="7"/>
      <c r="AK31" s="6" t="s">
        <v>79</v>
      </c>
      <c r="AL31" s="10" t="s">
        <v>21</v>
      </c>
      <c r="AM31" s="11" t="s">
        <v>22</v>
      </c>
      <c r="AO31" s="12"/>
      <c r="AS31" s="3" t="s">
        <v>106</v>
      </c>
      <c r="BD31" s="12"/>
      <c r="BF31" s="7"/>
      <c r="BH31" s="6" t="s">
        <v>107</v>
      </c>
      <c r="BI31" s="10" t="s">
        <v>21</v>
      </c>
      <c r="BJ31" s="11" t="s">
        <v>22</v>
      </c>
      <c r="BL31" s="12"/>
      <c r="BP31" s="3" t="s">
        <v>106</v>
      </c>
      <c r="CA31" s="12"/>
      <c r="CF31" s="7"/>
      <c r="CI31">
        <v>9</v>
      </c>
      <c r="CJ31" s="7">
        <f t="shared" ref="CJ31" si="25">CJ30+1</f>
        <v>11</v>
      </c>
      <c r="CK31" s="18">
        <f t="shared" si="18"/>
        <v>1.273148148148148E-4</v>
      </c>
      <c r="CL31" t="b">
        <f t="shared" si="19"/>
        <v>1</v>
      </c>
      <c r="CN31" s="15">
        <f t="shared" si="20"/>
        <v>-300</v>
      </c>
      <c r="CO31" t="e">
        <f t="shared" si="21"/>
        <v>#NUM!</v>
      </c>
      <c r="CQ31" t="e">
        <f t="shared" si="23"/>
        <v>#NUM!</v>
      </c>
      <c r="CR31">
        <f t="shared" si="22"/>
        <v>0</v>
      </c>
      <c r="DB31" s="12"/>
    </row>
    <row r="32" spans="3:112" ht="15.75" thickBot="1" x14ac:dyDescent="0.3">
      <c r="C32" s="7"/>
      <c r="F32" s="6" t="s">
        <v>108</v>
      </c>
      <c r="G32" s="10" t="s">
        <v>24</v>
      </c>
      <c r="H32" s="11" t="s">
        <v>25</v>
      </c>
      <c r="S32" s="12"/>
      <c r="Z32" s="7"/>
      <c r="AB32" s="7"/>
      <c r="AC32">
        <f>G13</f>
        <v>8</v>
      </c>
      <c r="AD32">
        <f t="shared" ref="AD32:AH32" si="26">H13</f>
        <v>8</v>
      </c>
      <c r="AG32" s="79">
        <f t="shared" si="26"/>
        <v>8</v>
      </c>
      <c r="AH32" s="80">
        <f t="shared" si="26"/>
        <v>3.625</v>
      </c>
      <c r="AI32" s="7"/>
      <c r="AK32" s="7"/>
      <c r="AL32">
        <f>IF(AE20="LIG",IF($AF$28=TRUE,IF(AG45=TRUE,IF($AF$22="desl",30,IF($AF$22=TRUE,BA23,BA36)),30),30),30)</f>
        <v>30</v>
      </c>
      <c r="AM32" s="12">
        <f>IF($AF$22="desl",30,IF($AF$22=TRUE,BB23,BB36))</f>
        <v>30</v>
      </c>
      <c r="AO32" s="12"/>
      <c r="AS32" s="6" t="s">
        <v>67</v>
      </c>
      <c r="AT32" s="10" t="s">
        <v>21</v>
      </c>
      <c r="AU32" s="10" t="s">
        <v>22</v>
      </c>
      <c r="AV32" s="10"/>
      <c r="AW32" s="10" t="s">
        <v>68</v>
      </c>
      <c r="AX32" s="10" t="s">
        <v>21</v>
      </c>
      <c r="AY32" s="11" t="s">
        <v>22</v>
      </c>
      <c r="BD32" s="12"/>
      <c r="BF32" s="7"/>
      <c r="BH32" s="7"/>
      <c r="BI32">
        <f>IF(AE20="LIG",IF($BG$17=TRUE,IF($AF$22="desl",30,IF($AF$22=TRUE,BX23,BX36)),30),30)</f>
        <v>30</v>
      </c>
      <c r="BJ32" s="12">
        <f>IF($AF$22="desl",30,IF($AF$22=TRUE,BY23,BY36))</f>
        <v>30</v>
      </c>
      <c r="BL32" s="12"/>
      <c r="BP32" s="6" t="s">
        <v>67</v>
      </c>
      <c r="BQ32" s="10" t="s">
        <v>21</v>
      </c>
      <c r="BR32" s="10" t="s">
        <v>22</v>
      </c>
      <c r="BS32" s="10"/>
      <c r="BT32" s="10" t="s">
        <v>68</v>
      </c>
      <c r="BU32" s="10" t="s">
        <v>21</v>
      </c>
      <c r="BV32" s="11" t="s">
        <v>22</v>
      </c>
      <c r="CA32" s="12"/>
      <c r="CF32" s="7"/>
      <c r="DB32" s="12"/>
    </row>
    <row r="33" spans="2:106" ht="15.75" thickBot="1" x14ac:dyDescent="0.3">
      <c r="C33" s="7"/>
      <c r="F33" s="21" t="str">
        <f>Interf_capact!$A$4</f>
        <v>C2</v>
      </c>
      <c r="G33">
        <f>IF($F$21="C1",O25,IF($F$21="C2",O27,IF($F$21="C3",O29,FALSE)))</f>
        <v>8</v>
      </c>
      <c r="H33" s="12">
        <f>IF($F$21="C1",P25,IF($F$21="C2",P27,IF($F$21="C3",P29,FALSE)))</f>
        <v>1.5</v>
      </c>
      <c r="S33" s="12"/>
      <c r="Z33" s="7"/>
      <c r="AB33" s="8"/>
      <c r="AC33" s="81">
        <f>G14</f>
        <v>8</v>
      </c>
      <c r="AD33" s="81">
        <f t="shared" ref="AD33" si="27">H14</f>
        <v>6.1750000000000007</v>
      </c>
      <c r="AE33" s="13"/>
      <c r="AF33" s="13"/>
      <c r="AG33" s="13">
        <f t="shared" ref="AG33" si="28">K14</f>
        <v>8</v>
      </c>
      <c r="AH33" s="14">
        <f t="shared" ref="AH33" si="29">L14</f>
        <v>1.5</v>
      </c>
      <c r="AI33" s="8"/>
      <c r="AJ33" s="13"/>
      <c r="AK33" s="8"/>
      <c r="AL33" s="13">
        <f>AL32</f>
        <v>30</v>
      </c>
      <c r="AM33" s="14">
        <f>IF($AF$22="desl",30,IF($AF$22=TRUE,BB24,BB37))</f>
        <v>30</v>
      </c>
      <c r="AN33" s="13"/>
      <c r="AO33" s="14"/>
      <c r="AS33" s="4" t="b">
        <f>AS20</f>
        <v>1</v>
      </c>
      <c r="AT33">
        <f>IF(AS33=TRUE,5.8,30)</f>
        <v>5.8</v>
      </c>
      <c r="AU33">
        <f>$AQ$22</f>
        <v>5.9250000000000007</v>
      </c>
      <c r="AW33" s="4" t="b">
        <f>AW20</f>
        <v>1</v>
      </c>
      <c r="AX33">
        <f>IF(AW33=TRUE,5.8+$AP$18,30)</f>
        <v>6.8874999999999993</v>
      </c>
      <c r="AY33" s="12">
        <f>AY34+AT17+0.05</f>
        <v>6.125</v>
      </c>
      <c r="BD33" s="12"/>
      <c r="BF33" s="8"/>
      <c r="BG33" s="13"/>
      <c r="BH33" s="8"/>
      <c r="BI33" s="13">
        <f>BI32</f>
        <v>30</v>
      </c>
      <c r="BJ33" s="14">
        <f>IF($AF$22="desl",30,IF($AF$22=TRUE,BY24,BY37))</f>
        <v>30</v>
      </c>
      <c r="BK33" s="13"/>
      <c r="BL33" s="14"/>
      <c r="BP33" s="4" t="b">
        <f>BP20</f>
        <v>1</v>
      </c>
      <c r="BQ33">
        <f>IF(BP34=TRUE,IF(BP33=TRUE,5.8,30),30)</f>
        <v>30</v>
      </c>
      <c r="BR33">
        <f>$AQ$22</f>
        <v>5.9250000000000007</v>
      </c>
      <c r="BT33" s="4" t="b">
        <f>BT20</f>
        <v>1</v>
      </c>
      <c r="BU33">
        <f>IF(BT34=TRUE,IF(BT33=TRUE,5.8+$AP$18,30),30)</f>
        <v>30</v>
      </c>
      <c r="BV33" s="12">
        <f>BV34+BQ17+0.05</f>
        <v>6.125</v>
      </c>
      <c r="CA33" s="12"/>
      <c r="CF33" s="7"/>
      <c r="DB33" s="12"/>
    </row>
    <row r="34" spans="2:106" ht="15.75" thickBot="1" x14ac:dyDescent="0.3">
      <c r="C34" s="7"/>
      <c r="F34" s="7"/>
      <c r="G34">
        <f>IF($F$21="C1",O26,IF($F$21="C2",O28,IF($F$21="C3",O30,FALSE)))</f>
        <v>6</v>
      </c>
      <c r="H34" s="14">
        <f>IF($F$21="C1",P26,IF($F$21="C2",P28,IF($F$21="C3",P30,FALSE)))</f>
        <v>0.5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4"/>
      <c r="Z34" s="7"/>
      <c r="AS34" s="7"/>
      <c r="AT34">
        <f>AT33</f>
        <v>5.8</v>
      </c>
      <c r="AU34">
        <f>$AQ$21</f>
        <v>3.375</v>
      </c>
      <c r="AX34">
        <f>AX33</f>
        <v>6.8874999999999993</v>
      </c>
      <c r="AY34" s="12">
        <f>$AQ$21+0.15</f>
        <v>3.5249999999999999</v>
      </c>
      <c r="BD34" s="12"/>
      <c r="BF34" s="7"/>
      <c r="BP34" s="34" t="b">
        <f>BP21</f>
        <v>0</v>
      </c>
      <c r="BQ34">
        <f>BQ33</f>
        <v>30</v>
      </c>
      <c r="BR34">
        <f>$AQ$21</f>
        <v>3.375</v>
      </c>
      <c r="BT34" s="45" t="b">
        <f>BL38</f>
        <v>0</v>
      </c>
      <c r="BU34">
        <f>BU33</f>
        <v>30</v>
      </c>
      <c r="BV34" s="12">
        <f>$AQ$21+0.15</f>
        <v>3.5249999999999999</v>
      </c>
      <c r="CA34" s="12"/>
      <c r="CF34" s="7"/>
      <c r="DB34" s="12"/>
    </row>
    <row r="35" spans="2:106" ht="15.75" thickBot="1" x14ac:dyDescent="0.3">
      <c r="B35" s="27" t="s">
        <v>109</v>
      </c>
      <c r="C35" s="28"/>
      <c r="D35" s="10"/>
      <c r="E35" s="10"/>
      <c r="F35" s="10"/>
      <c r="G35" s="11"/>
      <c r="H35" s="121" t="s">
        <v>202</v>
      </c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  <c r="Z35" s="7"/>
      <c r="AC35" t="s">
        <v>110</v>
      </c>
      <c r="AG35" s="84" t="s">
        <v>83</v>
      </c>
      <c r="AH35" s="3" t="s">
        <v>111</v>
      </c>
      <c r="AN35" t="s">
        <v>112</v>
      </c>
      <c r="AS35" s="7" t="s">
        <v>77</v>
      </c>
      <c r="AT35" t="s">
        <v>21</v>
      </c>
      <c r="AU35" t="s">
        <v>22</v>
      </c>
      <c r="AW35" t="s">
        <v>78</v>
      </c>
      <c r="AX35" t="s">
        <v>21</v>
      </c>
      <c r="AY35" s="12" t="s">
        <v>22</v>
      </c>
      <c r="AZ35" t="s">
        <v>79</v>
      </c>
      <c r="BA35" t="s">
        <v>21</v>
      </c>
      <c r="BB35" s="12" t="s">
        <v>22</v>
      </c>
      <c r="BD35" s="12"/>
      <c r="BF35" s="7"/>
      <c r="BG35" s="19" t="s">
        <v>113</v>
      </c>
      <c r="BH35" s="87">
        <f>B1</f>
        <v>1.8518518518518518E-4</v>
      </c>
      <c r="BK35" t="s">
        <v>112</v>
      </c>
      <c r="BL35" s="84" t="s">
        <v>114</v>
      </c>
      <c r="BP35" s="7" t="s">
        <v>77</v>
      </c>
      <c r="BQ35" t="s">
        <v>21</v>
      </c>
      <c r="BR35" t="s">
        <v>22</v>
      </c>
      <c r="BT35" t="s">
        <v>78</v>
      </c>
      <c r="BU35" t="s">
        <v>21</v>
      </c>
      <c r="BV35" s="12" t="s">
        <v>22</v>
      </c>
      <c r="BW35" t="s">
        <v>79</v>
      </c>
      <c r="BX35" t="s">
        <v>21</v>
      </c>
      <c r="BY35" s="12" t="s">
        <v>22</v>
      </c>
      <c r="CA35" s="12"/>
      <c r="CF35" s="7"/>
      <c r="DB35" s="12"/>
    </row>
    <row r="36" spans="2:106" ht="15.75" thickBot="1" x14ac:dyDescent="0.3">
      <c r="B36" s="7"/>
      <c r="G36" s="12"/>
      <c r="H36" s="103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  <c r="Z36" s="7"/>
      <c r="AD36" t="s">
        <v>115</v>
      </c>
      <c r="AE36">
        <v>0.25</v>
      </c>
      <c r="AF36">
        <f>AE36+AV17</f>
        <v>1.4375</v>
      </c>
      <c r="AG36" t="b">
        <f>IF(AND($AF$26&gt;=AE36,$AF$26&lt;AF36),TRUE,FALSE)</f>
        <v>0</v>
      </c>
      <c r="AH36" t="b">
        <f>IF($AF$26&lt;=AF36,TRUE,FALSE)</f>
        <v>0</v>
      </c>
      <c r="AN36" t="b">
        <f>Z21</f>
        <v>0</v>
      </c>
      <c r="AS36" s="4" t="b">
        <f>AS23</f>
        <v>1</v>
      </c>
      <c r="AT36">
        <f>IF(AS36=TRUE,9.25,30)</f>
        <v>9.25</v>
      </c>
      <c r="AU36">
        <f>$AQ$22</f>
        <v>5.9250000000000007</v>
      </c>
      <c r="AW36" s="4" t="b">
        <f>AW23</f>
        <v>1</v>
      </c>
      <c r="AX36">
        <f>AX34+$AP$18*2-0.7</f>
        <v>8.3625000000000007</v>
      </c>
      <c r="AY36" s="12">
        <f>AY33</f>
        <v>6.125</v>
      </c>
      <c r="AZ36" s="4"/>
      <c r="BA36">
        <f>BA23</f>
        <v>7.875</v>
      </c>
      <c r="BB36" s="12">
        <f>AQ21+0.3</f>
        <v>3.6749999999999998</v>
      </c>
      <c r="BD36" s="12"/>
      <c r="BF36" s="7"/>
      <c r="BG36" s="18">
        <f>TIME(0,0,0)</f>
        <v>0</v>
      </c>
      <c r="BH36" s="18">
        <f>TIME(0,0,2)</f>
        <v>2.3148148148148147E-5</v>
      </c>
      <c r="BI36" t="b">
        <f>IF($BH$35&gt;=BG36,FALSE,TRUE)</f>
        <v>0</v>
      </c>
      <c r="BJ36" t="s">
        <v>116</v>
      </c>
      <c r="BK36" t="b">
        <f>BI36</f>
        <v>0</v>
      </c>
      <c r="BL36" t="b">
        <f>IF(AND($BH$35&gt;=BG36,$BH$35&lt;=BH39),TRUE,FALSE)</f>
        <v>0</v>
      </c>
      <c r="BM36" s="3" t="s">
        <v>117</v>
      </c>
      <c r="BP36" s="4" t="b">
        <f>BP23</f>
        <v>1</v>
      </c>
      <c r="BQ36">
        <f>IF(BP37=TRUE,IF(BP36=TRUE,9.25,30),30)</f>
        <v>30</v>
      </c>
      <c r="BR36">
        <f>$AQ$22</f>
        <v>5.9250000000000007</v>
      </c>
      <c r="BT36" s="4" t="b">
        <f>BT23</f>
        <v>1</v>
      </c>
      <c r="BU36">
        <f>BU34+$AP$18*2-0.7</f>
        <v>31.474999999999998</v>
      </c>
      <c r="BV36" s="12">
        <f>BV33</f>
        <v>6.125</v>
      </c>
      <c r="BW36" s="67" t="b">
        <f>BW23</f>
        <v>0</v>
      </c>
      <c r="BX36">
        <f>BX23</f>
        <v>30</v>
      </c>
      <c r="BY36" s="12">
        <f>BY24+0.2</f>
        <v>6.1250000000000009</v>
      </c>
      <c r="CA36" s="12"/>
      <c r="CF36" s="7"/>
      <c r="DB36" s="12"/>
    </row>
    <row r="37" spans="2:106" ht="15.75" thickBot="1" x14ac:dyDescent="0.3">
      <c r="B37" s="7"/>
      <c r="C37" s="26" t="s">
        <v>85</v>
      </c>
      <c r="D37" s="19" t="s">
        <v>113</v>
      </c>
      <c r="F37" s="20" t="s">
        <v>118</v>
      </c>
      <c r="G37" s="12"/>
      <c r="H37" s="103"/>
      <c r="I37" s="79" t="s">
        <v>119</v>
      </c>
      <c r="J37" s="79"/>
      <c r="K37" s="79"/>
      <c r="L37" s="79"/>
      <c r="M37" s="79"/>
      <c r="N37" s="79"/>
      <c r="O37" s="79"/>
      <c r="P37" s="79"/>
      <c r="Q37" s="79"/>
      <c r="R37" s="79"/>
      <c r="S37" s="80"/>
      <c r="Z37" s="7"/>
      <c r="AD37" t="s">
        <v>120</v>
      </c>
      <c r="AE37">
        <v>1.4375</v>
      </c>
      <c r="AF37">
        <f>AE37+$AV$17</f>
        <v>2.625</v>
      </c>
      <c r="AG37" t="b">
        <f t="shared" ref="AG37:AG39" si="30">IF(AND($AF$26&gt;=AE37,$AF$26&lt;AF37),TRUE,FALSE)</f>
        <v>1</v>
      </c>
      <c r="AH37" t="b">
        <f>IF($AF$26&lt;=AF37,TRUE,FALSE)</f>
        <v>1</v>
      </c>
      <c r="AN37" t="b">
        <f t="shared" ref="AN37:AN39" si="31">Z22</f>
        <v>0</v>
      </c>
      <c r="AS37" s="7"/>
      <c r="AT37">
        <f>AT36</f>
        <v>9.25</v>
      </c>
      <c r="AU37">
        <f>$AQ$21</f>
        <v>3.375</v>
      </c>
      <c r="AX37">
        <f>AX36</f>
        <v>8.3625000000000007</v>
      </c>
      <c r="AY37" s="12">
        <f>AY34</f>
        <v>3.5249999999999999</v>
      </c>
      <c r="BA37">
        <f>BA36</f>
        <v>7.875</v>
      </c>
      <c r="BB37" s="12">
        <f>BB36+AT17</f>
        <v>6.2249999999999996</v>
      </c>
      <c r="BD37" s="12"/>
      <c r="BF37" s="7"/>
      <c r="BG37" s="18">
        <f>TIME(0,0,5)</f>
        <v>5.7870370370370366E-5</v>
      </c>
      <c r="BH37" s="18">
        <f>TIME(0,0,4)</f>
        <v>4.6296296296296294E-5</v>
      </c>
      <c r="BI37" t="b">
        <f>IF($BH$35&gt;=BG37,FALSE,TRUE)</f>
        <v>0</v>
      </c>
      <c r="BJ37" t="s">
        <v>121</v>
      </c>
      <c r="BK37" t="b">
        <f t="shared" ref="BK37:BK39" si="32">BI37</f>
        <v>0</v>
      </c>
      <c r="BL37" t="b">
        <f>IF(AND($BH$35&gt;=BG36,$BH$35&lt;=BH37),TRUE,FALSE)</f>
        <v>0</v>
      </c>
      <c r="BP37" s="34" t="b">
        <f>BP34</f>
        <v>0</v>
      </c>
      <c r="BQ37">
        <f>BQ36</f>
        <v>30</v>
      </c>
      <c r="BR37">
        <f>$AQ$21</f>
        <v>3.375</v>
      </c>
      <c r="BT37" s="45" t="b">
        <f>BT34</f>
        <v>0</v>
      </c>
      <c r="BU37">
        <f>BU36</f>
        <v>31.474999999999998</v>
      </c>
      <c r="BV37" s="12">
        <f>BV34</f>
        <v>3.5249999999999999</v>
      </c>
      <c r="BX37">
        <f>BX36</f>
        <v>30</v>
      </c>
      <c r="BY37" s="12">
        <f>BY23</f>
        <v>3.6250000000000004</v>
      </c>
      <c r="CA37" s="12"/>
      <c r="CF37" s="7"/>
      <c r="DB37" s="12"/>
    </row>
    <row r="38" spans="2:106" ht="15.75" thickBot="1" x14ac:dyDescent="0.3">
      <c r="B38" s="7">
        <v>2</v>
      </c>
      <c r="C38" s="95">
        <f>IF(OR(C31&lt;=2.5,E52&gt;1.1),1,B38)</f>
        <v>2</v>
      </c>
      <c r="D38" s="18">
        <f>TIME(0,0,0)</f>
        <v>0</v>
      </c>
      <c r="E38" s="18">
        <f>TIME(0,0,C38)</f>
        <v>2.3148148148148147E-5</v>
      </c>
      <c r="F38" s="4" t="b">
        <f>IF(AG6="c2",FALSE,IF(AND($B$1&gt;=D38,$B$1&lt;=E38),TRUE,FALSE))</f>
        <v>0</v>
      </c>
      <c r="G38" s="12" t="b">
        <f>IF($AG$6="c2",FALSE,IF($B$1&lt;=E38,TRUE,FALSE))</f>
        <v>0</v>
      </c>
      <c r="H38" s="103"/>
      <c r="I38" s="79"/>
      <c r="J38" s="79"/>
      <c r="K38" s="79" t="s">
        <v>21</v>
      </c>
      <c r="L38" s="79" t="s">
        <v>22</v>
      </c>
      <c r="M38" s="79"/>
      <c r="N38" s="79"/>
      <c r="O38" s="79"/>
      <c r="P38" s="79"/>
      <c r="Q38" s="79"/>
      <c r="R38" s="79"/>
      <c r="S38" s="80"/>
      <c r="Z38" s="7"/>
      <c r="AD38" t="s">
        <v>122</v>
      </c>
      <c r="AE38">
        <v>2.625</v>
      </c>
      <c r="AF38">
        <f t="shared" ref="AF38" si="33">AE38+$AV$17</f>
        <v>3.8125</v>
      </c>
      <c r="AG38" t="b">
        <f t="shared" si="30"/>
        <v>0</v>
      </c>
      <c r="AH38" t="b">
        <f>IF($AF$26&lt;=AF38,TRUE,FALSE)</f>
        <v>1</v>
      </c>
      <c r="AN38" t="b">
        <f t="shared" si="31"/>
        <v>0</v>
      </c>
      <c r="AS38" s="7" t="s">
        <v>94</v>
      </c>
      <c r="AT38" t="s">
        <v>21</v>
      </c>
      <c r="AU38" t="s">
        <v>22</v>
      </c>
      <c r="AW38" t="s">
        <v>96</v>
      </c>
      <c r="AX38" t="s">
        <v>21</v>
      </c>
      <c r="AY38" s="12" t="s">
        <v>22</v>
      </c>
      <c r="BD38" s="12"/>
      <c r="BF38" s="7"/>
      <c r="BG38" s="18">
        <f>TIME(0,0,7)</f>
        <v>8.1018518518518516E-5</v>
      </c>
      <c r="BH38" s="18">
        <f>TIME(0,0,6)</f>
        <v>6.9444444444444444E-5</v>
      </c>
      <c r="BI38" t="b">
        <f>IF($BH$35&gt;=BG38,FALSE,TRUE)</f>
        <v>0</v>
      </c>
      <c r="BJ38" t="s">
        <v>123</v>
      </c>
      <c r="BK38" t="b">
        <f t="shared" si="32"/>
        <v>0</v>
      </c>
      <c r="BL38" t="b">
        <f>IF(AND($BH$35&gt;=$BG$36,$BH$35&lt;=BH38),TRUE,FALSE)</f>
        <v>0</v>
      </c>
      <c r="BP38" s="7" t="s">
        <v>94</v>
      </c>
      <c r="BQ38" t="s">
        <v>21</v>
      </c>
      <c r="BR38" t="s">
        <v>22</v>
      </c>
      <c r="BT38" t="s">
        <v>96</v>
      </c>
      <c r="BU38" t="s">
        <v>21</v>
      </c>
      <c r="BV38" s="12" t="s">
        <v>22</v>
      </c>
      <c r="CA38" s="12"/>
      <c r="CF38" s="7"/>
      <c r="DB38" s="12"/>
    </row>
    <row r="39" spans="2:106" ht="15.75" thickBot="1" x14ac:dyDescent="0.3">
      <c r="B39" s="7"/>
      <c r="C39" s="96">
        <f>C38+1</f>
        <v>3</v>
      </c>
      <c r="D39" s="18">
        <f>TIME(0,0,C39)</f>
        <v>3.4722222222222222E-5</v>
      </c>
      <c r="E39" s="18">
        <f>TIME(0,0,C40)</f>
        <v>4.6296296296296294E-5</v>
      </c>
      <c r="F39" s="4" t="b">
        <f>IF(AG6="c2",FALSE,IF(AND($B$1&gt;=D39,$B$1&lt;=E39),TRUE,FALSE))</f>
        <v>0</v>
      </c>
      <c r="G39" s="12" t="b">
        <f>IF($AG$6="c2",FALSE,IF($B$1&lt;=E39,TRUE,FALSE))</f>
        <v>0</v>
      </c>
      <c r="H39" s="103"/>
      <c r="I39" s="79"/>
      <c r="J39" s="79" t="s">
        <v>124</v>
      </c>
      <c r="K39" s="79">
        <f>IF(OR(F38=TRUE,F39=TRUE),0.25,30)</f>
        <v>30</v>
      </c>
      <c r="L39" s="79">
        <v>0.25</v>
      </c>
      <c r="M39" s="79"/>
      <c r="N39" s="79"/>
      <c r="O39" s="79"/>
      <c r="P39" s="79"/>
      <c r="Q39" s="79"/>
      <c r="R39" s="79"/>
      <c r="S39" s="80"/>
      <c r="Z39" s="7"/>
      <c r="AD39" t="s">
        <v>125</v>
      </c>
      <c r="AE39">
        <v>3.8125</v>
      </c>
      <c r="AF39">
        <v>4.9000000000000004</v>
      </c>
      <c r="AG39" t="b">
        <f t="shared" si="30"/>
        <v>0</v>
      </c>
      <c r="AH39" t="b">
        <f>IF($AF$26&lt;=AF39,TRUE,FALSE)</f>
        <v>1</v>
      </c>
      <c r="AN39" t="b">
        <f t="shared" si="31"/>
        <v>0</v>
      </c>
      <c r="AS39" s="4" t="b">
        <f>AS26</f>
        <v>1</v>
      </c>
      <c r="AT39">
        <f>IF(AS39=TRUE,10.15,30)</f>
        <v>10.15</v>
      </c>
      <c r="AU39">
        <f>$AQ$22+0.55</f>
        <v>6.4750000000000005</v>
      </c>
      <c r="AW39" s="4" t="b">
        <f>AW26</f>
        <v>1</v>
      </c>
      <c r="AX39">
        <f>IF(AW39=TRUE,5.8+AP18+$AP$18-0.5,30)</f>
        <v>7.4749999999999996</v>
      </c>
      <c r="AY39" s="12">
        <f>AY36+0.35</f>
        <v>6.4749999999999996</v>
      </c>
      <c r="BD39" s="12"/>
      <c r="BF39" s="7"/>
      <c r="BG39" s="18">
        <f>TIME(0,0,9)</f>
        <v>1.0416666666666667E-4</v>
      </c>
      <c r="BH39" s="18">
        <f>TIME(0,0,8)</f>
        <v>9.2592592592592588E-5</v>
      </c>
      <c r="BI39" t="b">
        <f>IF($BH$35&gt;=BG39,FALSE,TRUE)</f>
        <v>0</v>
      </c>
      <c r="BJ39" t="s">
        <v>126</v>
      </c>
      <c r="BK39" t="b">
        <f t="shared" si="32"/>
        <v>0</v>
      </c>
      <c r="BL39" t="b">
        <f>IF(AND($BH$35&gt;=BG36,$BH$35&lt;=BG38),TRUE,FALSE)</f>
        <v>0</v>
      </c>
      <c r="BP39" s="4" t="b">
        <f>BP26</f>
        <v>1</v>
      </c>
      <c r="BQ39">
        <f>IF(BP40=TRUE,IF(BP39=TRUE,10.15,30),30)</f>
        <v>30</v>
      </c>
      <c r="BR39">
        <f>$AQ$22+0.55</f>
        <v>6.4750000000000005</v>
      </c>
      <c r="BT39" s="4" t="b">
        <f>BT26</f>
        <v>1</v>
      </c>
      <c r="BU39">
        <f>IF(BT40=TRUE,IF(BT39=TRUE,5.8+BM18+$AP$18-0.5,30),30)</f>
        <v>30</v>
      </c>
      <c r="BV39" s="12">
        <f>BV36+0.35</f>
        <v>6.4749999999999996</v>
      </c>
      <c r="CA39" s="12"/>
      <c r="CF39" s="7"/>
      <c r="DB39" s="12"/>
    </row>
    <row r="40" spans="2:106" ht="15.75" thickBot="1" x14ac:dyDescent="0.3">
      <c r="B40" s="7"/>
      <c r="C40" s="96">
        <f t="shared" ref="C40:C45" si="34">C39+1</f>
        <v>4</v>
      </c>
      <c r="D40" s="18">
        <f>TIME(0,0,C41)</f>
        <v>5.7870370370370366E-5</v>
      </c>
      <c r="E40" s="18">
        <f>TIME(0,0,C42)</f>
        <v>6.9444444444444444E-5</v>
      </c>
      <c r="F40" s="4" t="b">
        <f>IF(AG6="c2",FALSE,IF(AND($B$1&gt;=D40,$B$1&lt;=E40),TRUE,FALSE))</f>
        <v>0</v>
      </c>
      <c r="G40" s="12" t="b">
        <f>IF($AG$6="c2",FALSE,IF($B$1&lt;=E40,TRUE,FALSE))</f>
        <v>0</v>
      </c>
      <c r="H40" s="103"/>
      <c r="I40" s="79"/>
      <c r="J40" s="79" t="s">
        <v>127</v>
      </c>
      <c r="K40" s="79">
        <f>IF(OR(F40=TRUE,F41=TRUE),0,30)</f>
        <v>30</v>
      </c>
      <c r="L40" s="79">
        <v>0</v>
      </c>
      <c r="M40" s="79"/>
      <c r="N40" s="79"/>
      <c r="O40" s="79"/>
      <c r="P40" s="79"/>
      <c r="Q40" s="79"/>
      <c r="R40" s="79"/>
      <c r="S40" s="80"/>
      <c r="Z40" s="7"/>
      <c r="AF40" t="s">
        <v>128</v>
      </c>
      <c r="AS40" s="7"/>
      <c r="AT40">
        <f>AT39</f>
        <v>10.15</v>
      </c>
      <c r="AU40">
        <f>$AQ$21+0.65</f>
        <v>4.0250000000000004</v>
      </c>
      <c r="AX40">
        <f>AX39</f>
        <v>7.4749999999999996</v>
      </c>
      <c r="AY40" s="12">
        <f>AY37+0.25</f>
        <v>3.7749999999999999</v>
      </c>
      <c r="BD40" s="12"/>
      <c r="BF40" s="7"/>
      <c r="BP40" s="34" t="b">
        <f>BP37</f>
        <v>0</v>
      </c>
      <c r="BQ40">
        <f>BQ39</f>
        <v>30</v>
      </c>
      <c r="BR40">
        <f>$AQ$21+0.5</f>
        <v>3.875</v>
      </c>
      <c r="BT40" s="45" t="b">
        <f>BL39</f>
        <v>0</v>
      </c>
      <c r="BU40">
        <f>BU39</f>
        <v>30</v>
      </c>
      <c r="BV40" s="12">
        <f>BV37+0.25</f>
        <v>3.7749999999999999</v>
      </c>
      <c r="CA40" s="12"/>
      <c r="CF40" s="7"/>
      <c r="DB40" s="12"/>
    </row>
    <row r="41" spans="2:106" ht="15.75" thickBot="1" x14ac:dyDescent="0.3">
      <c r="B41" s="7"/>
      <c r="C41" s="96">
        <f t="shared" si="34"/>
        <v>5</v>
      </c>
      <c r="D41" s="18">
        <f>TIME(0,0,C43)</f>
        <v>8.1018518518518516E-5</v>
      </c>
      <c r="E41" s="18">
        <f>TIME(0,0,C44)</f>
        <v>9.2592592592592588E-5</v>
      </c>
      <c r="F41" s="4" t="b">
        <f>IF(AG6="c2",FALSE,IF(AND($B$1&gt;=D41,$B$1&lt;=E41),TRUE,FALSE))</f>
        <v>0</v>
      </c>
      <c r="G41" s="12" t="b">
        <f>IF($AG$6="c2",FALSE,IF($B$1&lt;=E41,TRUE,FALSE))</f>
        <v>0</v>
      </c>
      <c r="H41" s="103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  <c r="Z41" s="7"/>
      <c r="AC41" s="41" t="s">
        <v>129</v>
      </c>
      <c r="AD41" s="94"/>
      <c r="AE41" s="94">
        <v>1.5</v>
      </c>
      <c r="AF41" s="42">
        <f>AE41/4</f>
        <v>0.375</v>
      </c>
      <c r="AS41" s="7" t="s">
        <v>100</v>
      </c>
      <c r="AT41" t="s">
        <v>21</v>
      </c>
      <c r="AU41" t="s">
        <v>22</v>
      </c>
      <c r="AW41" t="s">
        <v>101</v>
      </c>
      <c r="AX41" t="s">
        <v>21</v>
      </c>
      <c r="AY41" s="12" t="s">
        <v>22</v>
      </c>
      <c r="BD41" s="12"/>
      <c r="BF41" s="7"/>
      <c r="BK41" t="s">
        <v>130</v>
      </c>
      <c r="BL41" t="b">
        <f>IF(AND(BH35&gt;=BG36,BH35&lt;=BH37),TRUE,FALSE)</f>
        <v>0</v>
      </c>
      <c r="BP41" s="7" t="s">
        <v>100</v>
      </c>
      <c r="BQ41" t="s">
        <v>21</v>
      </c>
      <c r="BR41" t="s">
        <v>22</v>
      </c>
      <c r="BT41" t="s">
        <v>101</v>
      </c>
      <c r="BU41" t="s">
        <v>21</v>
      </c>
      <c r="BV41" s="12" t="s">
        <v>22</v>
      </c>
      <c r="CA41" s="12"/>
      <c r="CF41" s="7"/>
      <c r="DB41" s="12"/>
    </row>
    <row r="42" spans="2:106" ht="15.75" thickBot="1" x14ac:dyDescent="0.3">
      <c r="B42" s="7"/>
      <c r="C42" s="96">
        <f t="shared" si="34"/>
        <v>6</v>
      </c>
      <c r="E42" s="18">
        <f>TIME(0,0,C45)</f>
        <v>1.0416666666666667E-4</v>
      </c>
      <c r="F42" s="2" t="b">
        <f>IF(B1&gt;=E42,TRUE,FALSE)</f>
        <v>1</v>
      </c>
      <c r="G42" s="12" t="b">
        <f>IF($AG$6="c2",FALSE,IF($B$1&lt;=E42,TRUE,FALSE))</f>
        <v>0</v>
      </c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2"/>
      <c r="Z42" s="7"/>
      <c r="AD42" t="s">
        <v>115</v>
      </c>
      <c r="AE42">
        <v>0</v>
      </c>
      <c r="AF42">
        <f>AE42+$AF$41</f>
        <v>0.375</v>
      </c>
      <c r="AG42" t="b">
        <f>NOT(IF(AND($AG$21&gt;=AE42,$AG$21&lt;AF42),TRUE,FALSE))</f>
        <v>0</v>
      </c>
      <c r="AS42" s="4" t="b">
        <f>AS29</f>
        <v>1</v>
      </c>
      <c r="AT42">
        <f>IF(AS42=TRUE,6.65,30)</f>
        <v>6.65</v>
      </c>
      <c r="AU42">
        <f>$AQ$22+0.55</f>
        <v>6.4750000000000005</v>
      </c>
      <c r="AW42" s="4" t="b">
        <f>AW29</f>
        <v>1</v>
      </c>
      <c r="AX42">
        <f>IF(AW42=TRUE,5.8+$AP$18+$AP$18*2-0.7+$AP$18-0.5,30)</f>
        <v>8.9500000000000011</v>
      </c>
      <c r="AY42" s="12">
        <f>AY39</f>
        <v>6.4749999999999996</v>
      </c>
      <c r="BD42" s="12"/>
      <c r="BF42" s="7"/>
      <c r="BP42" s="4" t="b">
        <f>BP29</f>
        <v>1</v>
      </c>
      <c r="BQ42">
        <f>IF(BP43=TRUE,IF(BP42=TRUE,6.65,30),30)</f>
        <v>30</v>
      </c>
      <c r="BR42">
        <f>$AQ$22+0.55</f>
        <v>6.4750000000000005</v>
      </c>
      <c r="BT42" s="4" t="b">
        <f>BT29</f>
        <v>1</v>
      </c>
      <c r="BU42">
        <f>IF(BT43=TRUE,IF(BT42=TRUE,5.8+$AP$18+$AP$18*2-0.7+$AP$18-0.5,30),30)</f>
        <v>30</v>
      </c>
      <c r="BV42" s="12">
        <f>BV39</f>
        <v>6.4749999999999996</v>
      </c>
      <c r="CA42" s="12"/>
      <c r="CF42" s="7"/>
      <c r="DB42" s="12"/>
    </row>
    <row r="43" spans="2:106" ht="15.75" thickBot="1" x14ac:dyDescent="0.3">
      <c r="B43" s="7"/>
      <c r="C43" s="96">
        <f t="shared" si="34"/>
        <v>7</v>
      </c>
      <c r="G43" s="12"/>
      <c r="H43" s="100"/>
      <c r="I43" s="104" t="s">
        <v>21</v>
      </c>
      <c r="J43" s="79"/>
      <c r="K43" s="105" t="s">
        <v>131</v>
      </c>
      <c r="L43" s="106" t="s">
        <v>21</v>
      </c>
      <c r="M43" s="107" t="s">
        <v>22</v>
      </c>
      <c r="N43" s="79"/>
      <c r="O43" s="105" t="s">
        <v>132</v>
      </c>
      <c r="P43" s="106" t="s">
        <v>21</v>
      </c>
      <c r="Q43" s="107" t="s">
        <v>22</v>
      </c>
      <c r="R43" s="79"/>
      <c r="S43" s="80"/>
      <c r="Z43" s="7"/>
      <c r="AD43" t="s">
        <v>120</v>
      </c>
      <c r="AE43">
        <v>0</v>
      </c>
      <c r="AF43">
        <f>AE43+$AF$41*2</f>
        <v>0.75</v>
      </c>
      <c r="AG43" t="b">
        <f t="shared" ref="AG43:AG45" si="35">NOT(IF(AND($AG$21&gt;=AE43,$AG$21&lt;AF43),TRUE,FALSE))</f>
        <v>0</v>
      </c>
      <c r="AS43" s="8"/>
      <c r="AT43" s="13">
        <f>AT42</f>
        <v>6.65</v>
      </c>
      <c r="AU43">
        <f>$AQ$21+0.6</f>
        <v>3.9750000000000001</v>
      </c>
      <c r="AV43" s="13"/>
      <c r="AW43" s="13"/>
      <c r="AX43" s="13">
        <f>AX42</f>
        <v>8.9500000000000011</v>
      </c>
      <c r="AY43" s="12">
        <f>AY40</f>
        <v>3.7749999999999999</v>
      </c>
      <c r="BD43" s="12"/>
      <c r="BF43" s="7"/>
      <c r="BP43" s="90" t="b">
        <f>BP40</f>
        <v>0</v>
      </c>
      <c r="BQ43" s="13">
        <f>BQ42</f>
        <v>30</v>
      </c>
      <c r="BR43">
        <f>$AQ$21+0.5</f>
        <v>3.875</v>
      </c>
      <c r="BS43" s="13"/>
      <c r="BT43" s="89" t="b">
        <f>BT40</f>
        <v>0</v>
      </c>
      <c r="BU43" s="13">
        <f>BU42</f>
        <v>30</v>
      </c>
      <c r="BV43" s="12">
        <f>BV40</f>
        <v>3.7749999999999999</v>
      </c>
      <c r="CA43" s="12"/>
      <c r="CF43" s="7"/>
      <c r="DB43" s="12"/>
    </row>
    <row r="44" spans="2:106" ht="15.75" thickBot="1" x14ac:dyDescent="0.3">
      <c r="B44" s="7"/>
      <c r="C44" s="96">
        <f t="shared" si="34"/>
        <v>8</v>
      </c>
      <c r="D44" t="s">
        <v>28</v>
      </c>
      <c r="E44" s="5" t="s">
        <v>133</v>
      </c>
      <c r="G44" s="12"/>
      <c r="H44" s="108" t="s">
        <v>134</v>
      </c>
      <c r="I44" s="109">
        <v>0</v>
      </c>
      <c r="J44" s="110">
        <v>3.8</v>
      </c>
      <c r="K44" s="103"/>
      <c r="L44" s="111">
        <v>0</v>
      </c>
      <c r="M44" s="109">
        <v>1</v>
      </c>
      <c r="N44" s="79"/>
      <c r="O44" s="108" t="s">
        <v>134</v>
      </c>
      <c r="P44" s="79">
        <f>IF(D52=0,25,IF(G38=TRUE,2.5,25))</f>
        <v>25</v>
      </c>
      <c r="Q44" s="80">
        <v>0</v>
      </c>
      <c r="R44" s="79"/>
      <c r="S44" s="80"/>
      <c r="Z44" s="8"/>
      <c r="AA44" s="13"/>
      <c r="AD44" t="s">
        <v>122</v>
      </c>
      <c r="AE44">
        <v>0</v>
      </c>
      <c r="AF44">
        <f>AE44+AF41*3</f>
        <v>1.125</v>
      </c>
      <c r="AG44" t="b">
        <f t="shared" si="35"/>
        <v>0</v>
      </c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4"/>
      <c r="BF44" s="8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4"/>
      <c r="CF44" s="7"/>
      <c r="DB44" s="12"/>
    </row>
    <row r="45" spans="2:106" ht="15.75" thickBot="1" x14ac:dyDescent="0.3">
      <c r="B45" s="7"/>
      <c r="C45" s="97">
        <f t="shared" si="34"/>
        <v>9</v>
      </c>
      <c r="D45" s="30">
        <f>Interf_capact!B1</f>
        <v>1.8518518518518518E-4</v>
      </c>
      <c r="G45" s="12"/>
      <c r="H45" s="108" t="s">
        <v>135</v>
      </c>
      <c r="I45" s="109">
        <v>0</v>
      </c>
      <c r="J45" s="110">
        <v>3</v>
      </c>
      <c r="K45" s="112"/>
      <c r="L45" s="113">
        <f>IF(D52=0,0,IF(F38=TRUE,I44,IF(F39=TRUE,I45,IF(F40=TRUE,I46,IF(F41=TRUE,I47,0)))))</f>
        <v>0</v>
      </c>
      <c r="M45" s="114">
        <v>1</v>
      </c>
      <c r="N45" s="79"/>
      <c r="O45" s="108" t="s">
        <v>135</v>
      </c>
      <c r="P45" s="79">
        <f>IF(D52=0,25,IF(G39=TRUE,2.5,25))</f>
        <v>25</v>
      </c>
      <c r="Q45" s="80">
        <f>Q44</f>
        <v>0</v>
      </c>
      <c r="R45" s="79"/>
      <c r="S45" s="80"/>
      <c r="AD45" t="s">
        <v>125</v>
      </c>
      <c r="AE45">
        <v>0</v>
      </c>
      <c r="AF45">
        <f>AE45+AF41*4</f>
        <v>1.5</v>
      </c>
      <c r="AG45" t="b">
        <f t="shared" si="35"/>
        <v>0</v>
      </c>
      <c r="CF45" s="7"/>
      <c r="DB45" s="12"/>
    </row>
    <row r="46" spans="2:106" ht="15.75" thickBot="1" x14ac:dyDescent="0.3">
      <c r="B46" s="7"/>
      <c r="G46" s="12"/>
      <c r="H46" s="108" t="s">
        <v>136</v>
      </c>
      <c r="I46" s="109">
        <v>0</v>
      </c>
      <c r="J46" s="110">
        <v>2.5</v>
      </c>
      <c r="K46" s="115" t="s">
        <v>137</v>
      </c>
      <c r="L46" s="79"/>
      <c r="M46" s="79"/>
      <c r="N46" s="79"/>
      <c r="O46" s="108" t="s">
        <v>136</v>
      </c>
      <c r="P46" s="79">
        <f>IF(D52=0,25,IF(G40=TRUE,2.5,25))</f>
        <v>25</v>
      </c>
      <c r="Q46" s="80">
        <f t="shared" ref="Q46:Q47" si="36">Q45</f>
        <v>0</v>
      </c>
      <c r="R46" s="79"/>
      <c r="S46" s="80"/>
      <c r="CF46" s="7"/>
      <c r="DB46" s="12"/>
    </row>
    <row r="47" spans="2:106" ht="15.75" thickBot="1" x14ac:dyDescent="0.3">
      <c r="B47" s="7"/>
      <c r="F47" s="38" t="s">
        <v>138</v>
      </c>
      <c r="G47" s="12"/>
      <c r="H47" s="116" t="s">
        <v>139</v>
      </c>
      <c r="I47" s="114">
        <v>0</v>
      </c>
      <c r="J47" s="117">
        <v>2</v>
      </c>
      <c r="K47" s="79"/>
      <c r="L47" s="118">
        <v>1.95</v>
      </c>
      <c r="M47" s="119">
        <v>1</v>
      </c>
      <c r="N47" s="79"/>
      <c r="O47" s="116" t="s">
        <v>139</v>
      </c>
      <c r="P47" s="81">
        <f>IF(D52=0,25,IF(G41=TRUE,2.5,25))</f>
        <v>25</v>
      </c>
      <c r="Q47" s="120">
        <f t="shared" si="36"/>
        <v>0</v>
      </c>
      <c r="R47" s="79"/>
      <c r="S47" s="80"/>
      <c r="CF47" s="7"/>
      <c r="DB47" s="12"/>
    </row>
    <row r="48" spans="2:106" ht="15.75" thickBot="1" x14ac:dyDescent="0.3">
      <c r="B48" s="7"/>
      <c r="F48" s="17" t="b" cm="1">
        <f t="array" ref="F48">_xlfn.IFS(F38=FALSE,TRUE,F39=FALSE,TRUE,F40=FALSE,TRUE,F41=FALSE,TRUE)</f>
        <v>1</v>
      </c>
      <c r="G48" s="7"/>
      <c r="H48" s="10"/>
      <c r="S48" s="12"/>
      <c r="CF48" s="8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4"/>
    </row>
    <row r="49" spans="1:28" ht="15.75" thickBot="1" x14ac:dyDescent="0.3">
      <c r="B49" s="7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4"/>
    </row>
    <row r="50" spans="1:28" ht="15.75" thickBot="1" x14ac:dyDescent="0.3">
      <c r="A50" s="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1"/>
    </row>
    <row r="51" spans="1:28" ht="15.75" thickBot="1" x14ac:dyDescent="0.3">
      <c r="A51" s="7"/>
      <c r="B51" s="29" t="s">
        <v>82</v>
      </c>
      <c r="E51" t="s">
        <v>140</v>
      </c>
      <c r="K51" s="51" t="s">
        <v>141</v>
      </c>
      <c r="L51" s="52"/>
      <c r="M51" s="52"/>
      <c r="N51" s="10"/>
      <c r="O51" s="10"/>
      <c r="P51" s="10"/>
      <c r="Q51" s="10"/>
      <c r="R51" s="11"/>
      <c r="S51" s="12"/>
      <c r="T51" s="27" t="s">
        <v>142</v>
      </c>
      <c r="U51" s="28"/>
      <c r="V51" s="10"/>
      <c r="W51" s="10"/>
      <c r="X51" s="10"/>
      <c r="Y51" s="10"/>
      <c r="Z51" s="10"/>
      <c r="AA51" s="10"/>
      <c r="AB51" s="11"/>
    </row>
    <row r="52" spans="1:28" ht="15.75" thickBot="1" x14ac:dyDescent="0.3">
      <c r="A52" s="7"/>
      <c r="C52" t="s">
        <v>143</v>
      </c>
      <c r="D52">
        <f>W14</f>
        <v>0</v>
      </c>
      <c r="E52">
        <f>ABS(D52)</f>
        <v>0</v>
      </c>
      <c r="G52">
        <f>IF(C56=TRUE,H56,IF(C57=TRUE,H57,IF(C58=TRUE,H58,IF(C59=TRUE,H59,IF(C60=TRUE,H60,IF(C61=TRUE,H61,IF(C62=TRUE,H62,IF(C63=TRUE,H63,IF(C64=TRUE,H64,"error")))))))))</f>
        <v>0</v>
      </c>
      <c r="K52" s="7"/>
      <c r="N52" s="53" t="s">
        <v>144</v>
      </c>
      <c r="P52" s="54" t="s">
        <v>145</v>
      </c>
      <c r="Q52" s="55" t="s">
        <v>146</v>
      </c>
      <c r="R52" s="11"/>
      <c r="S52" s="12"/>
      <c r="T52" s="7"/>
      <c r="AB52" s="12"/>
    </row>
    <row r="53" spans="1:28" ht="15.75" thickBot="1" x14ac:dyDescent="0.3">
      <c r="A53" s="7"/>
      <c r="K53" s="7"/>
      <c r="M53" s="56" t="s">
        <v>147</v>
      </c>
      <c r="N53" s="32" t="str">
        <f>" "</f>
        <v xml:space="preserve"> </v>
      </c>
      <c r="O53" s="45" t="s">
        <v>148</v>
      </c>
      <c r="P53" s="7"/>
      <c r="Q53" s="57" t="str">
        <f>AB53</f>
        <v>p1</v>
      </c>
      <c r="R53" s="12"/>
      <c r="S53" s="12"/>
      <c r="T53" s="7"/>
      <c r="U53" t="s">
        <v>149</v>
      </c>
      <c r="V53" s="4">
        <v>20</v>
      </c>
      <c r="W53" s="66" t="s">
        <v>150</v>
      </c>
      <c r="X53" s="15" t="s">
        <v>147</v>
      </c>
      <c r="Y53" s="15">
        <v>0</v>
      </c>
      <c r="AA53" s="67" t="s">
        <v>151</v>
      </c>
      <c r="AB53" s="32" t="str">
        <f>Interf_capact!F1</f>
        <v>p1</v>
      </c>
    </row>
    <row r="54" spans="1:28" ht="15.75" thickBot="1" x14ac:dyDescent="0.3">
      <c r="A54" s="7"/>
      <c r="C54" s="3" t="s">
        <v>152</v>
      </c>
      <c r="K54" s="70" t="s">
        <v>153</v>
      </c>
      <c r="M54" s="59" t="s">
        <v>154</v>
      </c>
      <c r="N54" s="58" t="s">
        <v>155</v>
      </c>
      <c r="P54" s="6"/>
      <c r="Q54" s="60" t="s">
        <v>156</v>
      </c>
      <c r="R54" s="11"/>
      <c r="S54" s="12"/>
      <c r="T54" s="7"/>
      <c r="U54" t="s">
        <v>157</v>
      </c>
      <c r="V54" s="4">
        <v>360</v>
      </c>
      <c r="X54" s="15" t="s">
        <v>154</v>
      </c>
      <c r="Y54" s="15">
        <f>Y53+$V$56</f>
        <v>18</v>
      </c>
      <c r="AA54" s="7"/>
      <c r="AB54" s="12"/>
    </row>
    <row r="55" spans="1:28" ht="15.75" thickBot="1" x14ac:dyDescent="0.3">
      <c r="A55" s="7">
        <v>0</v>
      </c>
      <c r="C55" s="18" t="s">
        <v>83</v>
      </c>
      <c r="H55" s="3" t="s">
        <v>158</v>
      </c>
      <c r="K55" s="9" t="str">
        <f>D77</f>
        <v>desl</v>
      </c>
      <c r="M55" s="59" t="s">
        <v>159</v>
      </c>
      <c r="N55" s="58" t="s">
        <v>155</v>
      </c>
      <c r="P55" s="7"/>
      <c r="Q55" s="32" t="str">
        <f>IF(Q53="p1",N53,IF(Q53="p2",N54,IF(Q53="p3",N55,IF(Q53="p4",N56,IF(Q53="p5",N57,IF(Q53="p6",N58,IF(Q53="p7",N59,IF(Q53="p8",N60,IF(Q53="p9",N61,IF(Q53="p10",N62,IF(Q53="p11",N63,IF(Q53="p12",N64,IF(Q53="p13",N65,IF(Q53="p14",N66,IF(Q53="p15",N67,IF(Q53="p16",N68,IF(Q53="p17",N69,IF(Q53="p18",N70,IF(Q53="p19",N71,IF(Q53="p20",N72,"Error"))))))))))))))))))))</f>
        <v xml:space="preserve"> </v>
      </c>
      <c r="R55" s="12"/>
      <c r="S55" s="12"/>
      <c r="T55" s="7"/>
      <c r="X55" s="15" t="s">
        <v>159</v>
      </c>
      <c r="Y55" s="15">
        <f t="shared" ref="Y55:Y72" si="37">Y54+$V$56</f>
        <v>36</v>
      </c>
      <c r="AA55" s="68" t="s">
        <v>83</v>
      </c>
      <c r="AB55" s="32">
        <f>IF(AB53="p1",Y53,IF(AB53="p2",Y54,IF(AB53="p3",Y55,IF(AB53="p4",Y56,IF(AB53="p5",Y57,IF(AB53="p6",Y58,IF(AB53="p7",Y59,IF(AB53="p8",Y60,IF(AB53="p9",Y61,IF(AB53="p10",Y62,IF(AB53="p11",Y63,IF(AB53="p12",Y64,IF(AB53="p13",Y65,IF(AB53="p14",Y66,IF(AB53="p15",Y67,IF(AB53="p16",Y68,IF(AB53="p17",Y69,IF(AB53="p18",Y70,IF(AB53="p19",Y71,IF(AB53="p20",Y72,"Error"))))))))))))))))))))</f>
        <v>0</v>
      </c>
    </row>
    <row r="56" spans="1:28" ht="15.75" thickBot="1" x14ac:dyDescent="0.3">
      <c r="A56" s="7">
        <v>1</v>
      </c>
      <c r="B56" s="18">
        <f>TIME(0,0,A55)</f>
        <v>0</v>
      </c>
      <c r="C56" t="b">
        <f>IF(AND($D$45&gt;=B56,D45&lt;B57),TRUE,FALSE)</f>
        <v>0</v>
      </c>
      <c r="E56" t="s">
        <v>160</v>
      </c>
      <c r="F56">
        <f>D52</f>
        <v>0</v>
      </c>
      <c r="H56" s="15">
        <f>F56</f>
        <v>0</v>
      </c>
      <c r="K56" s="7"/>
      <c r="M56" s="59" t="s">
        <v>161</v>
      </c>
      <c r="N56" s="58" t="s">
        <v>155</v>
      </c>
      <c r="P56" s="8"/>
      <c r="Q56" s="13"/>
      <c r="R56" s="14"/>
      <c r="S56" s="12"/>
      <c r="T56" s="7"/>
      <c r="U56" t="s">
        <v>162</v>
      </c>
      <c r="V56" s="4">
        <f>V54/V53</f>
        <v>18</v>
      </c>
      <c r="X56" s="15" t="s">
        <v>161</v>
      </c>
      <c r="Y56" s="15">
        <f t="shared" si="37"/>
        <v>54</v>
      </c>
      <c r="AB56" s="12"/>
    </row>
    <row r="57" spans="1:28" ht="15.75" thickBot="1" x14ac:dyDescent="0.3">
      <c r="A57" s="7">
        <f>C38+1</f>
        <v>3</v>
      </c>
      <c r="B57" s="18">
        <f t="shared" ref="B57:B64" si="38">TIME(0,0,A57)</f>
        <v>3.4722222222222222E-5</v>
      </c>
      <c r="C57" t="b">
        <f>IF(AND($D$45&gt;=B57,D45&lt;B58),TRUE,FALSE)</f>
        <v>0</v>
      </c>
      <c r="E57" t="s">
        <v>163</v>
      </c>
      <c r="F57">
        <v>0</v>
      </c>
      <c r="H57" s="15">
        <f>H56+$F$62</f>
        <v>0</v>
      </c>
      <c r="K57" s="7"/>
      <c r="M57" s="59" t="s">
        <v>164</v>
      </c>
      <c r="N57" s="58" t="s">
        <v>155</v>
      </c>
      <c r="S57" s="12"/>
      <c r="T57" s="7"/>
      <c r="X57" s="15" t="s">
        <v>164</v>
      </c>
      <c r="Y57" s="15">
        <f t="shared" si="37"/>
        <v>72</v>
      </c>
      <c r="AB57" s="12"/>
    </row>
    <row r="58" spans="1:28" ht="15.75" thickBot="1" x14ac:dyDescent="0.3">
      <c r="A58" s="7">
        <f>A57+2</f>
        <v>5</v>
      </c>
      <c r="B58" s="18">
        <f t="shared" si="38"/>
        <v>5.7870370370370366E-5</v>
      </c>
      <c r="C58" t="b">
        <f>IF(AND($D$45&gt;=B58,D45&lt;B59),TRUE,FALSE)</f>
        <v>0</v>
      </c>
      <c r="H58" s="15">
        <f t="shared" ref="H58:H62" si="39">H57+$F$62</f>
        <v>0</v>
      </c>
      <c r="J58" s="31" t="s">
        <v>165</v>
      </c>
      <c r="K58" s="7"/>
      <c r="M58" s="59" t="s">
        <v>166</v>
      </c>
      <c r="N58" s="58" t="s">
        <v>155</v>
      </c>
      <c r="S58" s="12"/>
      <c r="T58" s="7"/>
      <c r="W58" s="66" t="s">
        <v>167</v>
      </c>
      <c r="X58" s="15" t="s">
        <v>166</v>
      </c>
      <c r="Y58" s="15">
        <f t="shared" si="37"/>
        <v>90</v>
      </c>
      <c r="AB58" s="12"/>
    </row>
    <row r="59" spans="1:28" ht="15.75" thickBot="1" x14ac:dyDescent="0.3">
      <c r="A59" s="7">
        <f>A58+1</f>
        <v>6</v>
      </c>
      <c r="B59" s="18">
        <f t="shared" si="38"/>
        <v>6.9444444444444444E-5</v>
      </c>
      <c r="C59" t="b">
        <f>IF(AND($D$45&gt;=B59,D45&lt;B60),TRUE,FALSE)</f>
        <v>0</v>
      </c>
      <c r="E59" t="s">
        <v>157</v>
      </c>
      <c r="F59">
        <f>IF(D52&lt;0,F56-F57,F56-F57)</f>
        <v>0</v>
      </c>
      <c r="H59" s="15">
        <f t="shared" si="39"/>
        <v>0</v>
      </c>
      <c r="J59" s="32">
        <f>G52</f>
        <v>0</v>
      </c>
      <c r="K59" s="7"/>
      <c r="M59" s="59" t="s">
        <v>168</v>
      </c>
      <c r="N59" s="58" t="s">
        <v>155</v>
      </c>
      <c r="S59" s="12"/>
      <c r="T59" s="7"/>
      <c r="X59" s="15" t="s">
        <v>169</v>
      </c>
      <c r="Y59" s="15">
        <f t="shared" si="37"/>
        <v>108</v>
      </c>
      <c r="AA59" s="4" t="s">
        <v>170</v>
      </c>
      <c r="AB59" s="4">
        <f>RADIANS(AB55)</f>
        <v>0</v>
      </c>
    </row>
    <row r="60" spans="1:28" ht="15.75" thickBot="1" x14ac:dyDescent="0.3">
      <c r="A60" s="7">
        <f>A59+1</f>
        <v>7</v>
      </c>
      <c r="B60" s="18">
        <f t="shared" si="38"/>
        <v>8.1018518518518516E-5</v>
      </c>
      <c r="C60" t="b">
        <f>IF(AND($D$45&gt;=B60,D45&lt;B61),TRUE,FALSE)</f>
        <v>0</v>
      </c>
      <c r="E60" t="s">
        <v>171</v>
      </c>
      <c r="F60">
        <v>8</v>
      </c>
      <c r="H60" s="15">
        <f t="shared" si="39"/>
        <v>0</v>
      </c>
      <c r="K60" s="7"/>
      <c r="M60" s="59" t="s">
        <v>172</v>
      </c>
      <c r="N60" s="58" t="s">
        <v>155</v>
      </c>
      <c r="S60" s="12"/>
      <c r="T60" s="7"/>
      <c r="X60" s="15" t="s">
        <v>172</v>
      </c>
      <c r="Y60" s="15">
        <f t="shared" si="37"/>
        <v>126</v>
      </c>
      <c r="AB60" s="12"/>
    </row>
    <row r="61" spans="1:28" ht="15.75" thickBot="1" x14ac:dyDescent="0.3">
      <c r="A61" s="7">
        <f t="shared" ref="A61:A64" si="40">A60+1</f>
        <v>8</v>
      </c>
      <c r="B61" s="18">
        <f t="shared" si="38"/>
        <v>9.2592592592592588E-5</v>
      </c>
      <c r="C61" t="b">
        <f>IF(AND($D$45&gt;=B61,D45&lt;B62),TRUE,FALSE)</f>
        <v>0</v>
      </c>
      <c r="H61" s="15">
        <f t="shared" si="39"/>
        <v>0</v>
      </c>
      <c r="K61" s="7"/>
      <c r="M61" s="59" t="s">
        <v>173</v>
      </c>
      <c r="N61" s="58" t="s">
        <v>155</v>
      </c>
      <c r="P61" s="69" t="s">
        <v>50</v>
      </c>
      <c r="S61" s="12"/>
      <c r="T61" s="7"/>
      <c r="X61" s="15" t="s">
        <v>173</v>
      </c>
      <c r="Y61" s="15">
        <f t="shared" si="37"/>
        <v>144</v>
      </c>
      <c r="AA61" t="s">
        <v>174</v>
      </c>
      <c r="AB61" s="12">
        <v>4.5999999999999996</v>
      </c>
    </row>
    <row r="62" spans="1:28" ht="15.75" thickBot="1" x14ac:dyDescent="0.3">
      <c r="A62" s="7">
        <f t="shared" si="40"/>
        <v>9</v>
      </c>
      <c r="B62" s="18">
        <f t="shared" si="38"/>
        <v>1.0416666666666667E-4</v>
      </c>
      <c r="C62" t="b">
        <f>IF(AND($D$45&gt;=B62,D45&lt;B63),TRUE,FALSE)</f>
        <v>0</v>
      </c>
      <c r="E62" t="s">
        <v>128</v>
      </c>
      <c r="F62">
        <f>IF(D52&lt;=0,-F59/F60,-F59/F60)</f>
        <v>0</v>
      </c>
      <c r="H62" s="15">
        <f t="shared" si="39"/>
        <v>0</v>
      </c>
      <c r="K62" s="7"/>
      <c r="M62" s="59" t="s">
        <v>175</v>
      </c>
      <c r="N62" s="58" t="s">
        <v>155</v>
      </c>
      <c r="P62" s="39">
        <f>IF(Interf_capact!C1=0,0,IF(K55="lig",J59,0))</f>
        <v>0</v>
      </c>
      <c r="S62" s="12"/>
      <c r="T62" s="7"/>
      <c r="X62" s="15" t="s">
        <v>175</v>
      </c>
      <c r="Y62" s="15">
        <f t="shared" si="37"/>
        <v>162</v>
      </c>
      <c r="AA62" t="s">
        <v>21</v>
      </c>
      <c r="AB62" s="12" t="s">
        <v>22</v>
      </c>
    </row>
    <row r="63" spans="1:28" ht="15.75" thickBot="1" x14ac:dyDescent="0.3">
      <c r="A63" s="7">
        <f t="shared" si="40"/>
        <v>10</v>
      </c>
      <c r="B63" s="18">
        <f t="shared" si="38"/>
        <v>1.1574074074074073E-4</v>
      </c>
      <c r="C63" t="b">
        <f>IF(AND($D$45&gt;=B63,D45&lt;B64),TRUE,FALSE)</f>
        <v>0</v>
      </c>
      <c r="H63" s="15">
        <f>H62+$F$62</f>
        <v>0</v>
      </c>
      <c r="K63" s="7"/>
      <c r="M63" s="56" t="s">
        <v>176</v>
      </c>
      <c r="N63" s="58" t="s">
        <v>155</v>
      </c>
      <c r="S63" s="12"/>
      <c r="T63" s="7"/>
      <c r="W63" s="66" t="s">
        <v>177</v>
      </c>
      <c r="X63" s="15" t="s">
        <v>176</v>
      </c>
      <c r="Y63" s="15">
        <f t="shared" si="37"/>
        <v>180</v>
      </c>
      <c r="AA63">
        <v>0</v>
      </c>
      <c r="AB63" s="12">
        <v>0</v>
      </c>
    </row>
    <row r="64" spans="1:28" ht="15.75" thickBot="1" x14ac:dyDescent="0.3">
      <c r="A64" s="7">
        <f t="shared" si="40"/>
        <v>11</v>
      </c>
      <c r="B64" s="18">
        <f t="shared" si="38"/>
        <v>1.273148148148148E-4</v>
      </c>
      <c r="C64" t="b">
        <f>IF($D$45&gt;B63,TRUE,FALSE)</f>
        <v>1</v>
      </c>
      <c r="H64" s="15">
        <v>0</v>
      </c>
      <c r="K64" s="7"/>
      <c r="M64" s="59" t="s">
        <v>178</v>
      </c>
      <c r="N64" s="58" t="s">
        <v>155</v>
      </c>
      <c r="R64" s="12"/>
      <c r="S64" s="12"/>
      <c r="T64" s="7"/>
      <c r="X64" s="15" t="s">
        <v>178</v>
      </c>
      <c r="Y64" s="15">
        <f t="shared" si="37"/>
        <v>198</v>
      </c>
      <c r="AA64">
        <f>AB61*SIN(AB59)</f>
        <v>0</v>
      </c>
      <c r="AB64" s="12">
        <f>AB61*COS(AB59)</f>
        <v>4.5999999999999996</v>
      </c>
    </row>
    <row r="65" spans="1:28" ht="15.75" thickBot="1" x14ac:dyDescent="0.3">
      <c r="A65" s="7"/>
      <c r="K65" s="7"/>
      <c r="M65" s="59" t="s">
        <v>179</v>
      </c>
      <c r="N65" s="58" t="s">
        <v>155</v>
      </c>
      <c r="R65" s="12"/>
      <c r="S65" s="12"/>
      <c r="T65" s="7"/>
      <c r="X65" s="15" t="s">
        <v>179</v>
      </c>
      <c r="Y65" s="15">
        <f t="shared" si="37"/>
        <v>216</v>
      </c>
      <c r="AB65" s="12"/>
    </row>
    <row r="66" spans="1:28" ht="15.75" thickBot="1" x14ac:dyDescent="0.3">
      <c r="A66" s="7"/>
      <c r="K66" s="7"/>
      <c r="M66" s="59" t="s">
        <v>180</v>
      </c>
      <c r="N66" s="58" t="s">
        <v>155</v>
      </c>
      <c r="R66" s="12"/>
      <c r="S66" s="12"/>
      <c r="T66" s="7"/>
      <c r="X66" s="15" t="s">
        <v>180</v>
      </c>
      <c r="Y66" s="15">
        <f t="shared" si="37"/>
        <v>234</v>
      </c>
      <c r="AA66" t="s">
        <v>181</v>
      </c>
      <c r="AB66" s="12">
        <f>AB61*0.65</f>
        <v>2.9899999999999998</v>
      </c>
    </row>
    <row r="67" spans="1:28" ht="15.75" thickBot="1" x14ac:dyDescent="0.3">
      <c r="A67" s="7"/>
      <c r="C67" t="s">
        <v>182</v>
      </c>
      <c r="E67" s="71" t="str">
        <f>FIXED(D52,3,TRUE)</f>
        <v>0,000</v>
      </c>
      <c r="K67" s="7"/>
      <c r="M67" s="59" t="s">
        <v>183</v>
      </c>
      <c r="N67" s="58" t="s">
        <v>155</v>
      </c>
      <c r="O67" s="15" t="s">
        <v>184</v>
      </c>
      <c r="R67" s="12"/>
      <c r="S67" s="12"/>
      <c r="T67" s="7"/>
      <c r="X67" s="15" t="s">
        <v>183</v>
      </c>
      <c r="Y67" s="15">
        <f t="shared" si="37"/>
        <v>252</v>
      </c>
      <c r="AA67" t="s">
        <v>21</v>
      </c>
      <c r="AB67" s="12" t="s">
        <v>22</v>
      </c>
    </row>
    <row r="68" spans="1:28" x14ac:dyDescent="0.25">
      <c r="A68" s="7"/>
      <c r="K68" s="7"/>
      <c r="M68" s="56" t="s">
        <v>185</v>
      </c>
      <c r="N68" s="61" t="str">
        <f>IF(P62&lt;=2,FIXED(P62/1000,O68),"Erro")</f>
        <v>0,000</v>
      </c>
      <c r="O68" s="62">
        <v>3</v>
      </c>
      <c r="R68" s="12"/>
      <c r="S68" s="12"/>
      <c r="T68" s="7"/>
      <c r="W68" s="66" t="s">
        <v>186</v>
      </c>
      <c r="X68" s="15" t="s">
        <v>185</v>
      </c>
      <c r="Y68" s="15">
        <f t="shared" si="37"/>
        <v>270</v>
      </c>
      <c r="AA68">
        <f>AA63</f>
        <v>0</v>
      </c>
      <c r="AB68">
        <f>AB63</f>
        <v>0</v>
      </c>
    </row>
    <row r="69" spans="1:28" x14ac:dyDescent="0.25">
      <c r="A69" s="7"/>
      <c r="K69" s="7"/>
      <c r="M69" s="59" t="s">
        <v>187</v>
      </c>
      <c r="N69" s="63" t="str">
        <f>IF(P62&lt;=2,FIXED(P62/1000,O69),"Erro")</f>
        <v>0,000</v>
      </c>
      <c r="O69" s="62">
        <v>3</v>
      </c>
      <c r="R69" s="12"/>
      <c r="S69" s="12"/>
      <c r="T69" s="7"/>
      <c r="X69" s="15" t="s">
        <v>187</v>
      </c>
      <c r="Y69" s="15">
        <f t="shared" si="37"/>
        <v>288</v>
      </c>
      <c r="AA69">
        <f>AB66*SIN(AB59)</f>
        <v>0</v>
      </c>
      <c r="AB69" s="12">
        <f>AB66*COS(AB59)</f>
        <v>2.9899999999999998</v>
      </c>
    </row>
    <row r="70" spans="1:28" ht="15.75" thickBot="1" x14ac:dyDescent="0.3">
      <c r="A70" s="7"/>
      <c r="K70" s="7"/>
      <c r="M70" s="59" t="s">
        <v>188</v>
      </c>
      <c r="N70" s="63" t="str">
        <f>FIXED(P62,O70)</f>
        <v>0,00</v>
      </c>
      <c r="O70" s="62">
        <v>2</v>
      </c>
      <c r="R70" s="12"/>
      <c r="S70" s="12"/>
      <c r="T70" s="7"/>
      <c r="X70" s="15" t="s">
        <v>188</v>
      </c>
      <c r="Y70" s="15">
        <f t="shared" si="37"/>
        <v>306</v>
      </c>
      <c r="AB70" s="12"/>
    </row>
    <row r="71" spans="1:28" ht="15.75" thickBot="1" x14ac:dyDescent="0.3">
      <c r="A71" s="7"/>
      <c r="K71" s="7"/>
      <c r="M71" s="59" t="s">
        <v>189</v>
      </c>
      <c r="N71" s="63" t="str">
        <f>FIXED(P62,O71)</f>
        <v>0,0</v>
      </c>
      <c r="O71" s="62">
        <v>1</v>
      </c>
      <c r="Q71" s="60" t="s">
        <v>190</v>
      </c>
      <c r="R71" s="12"/>
      <c r="S71" s="12"/>
      <c r="T71" s="7"/>
      <c r="X71" s="15" t="s">
        <v>189</v>
      </c>
      <c r="Y71" s="15">
        <f t="shared" si="37"/>
        <v>324</v>
      </c>
      <c r="AB71" s="12"/>
    </row>
    <row r="72" spans="1:28" ht="15.75" thickBot="1" x14ac:dyDescent="0.3">
      <c r="A72" s="7"/>
      <c r="K72" s="7"/>
      <c r="M72" s="64" t="s">
        <v>191</v>
      </c>
      <c r="N72" s="65" t="str">
        <f>FIXED(Q72,O72)</f>
        <v>0</v>
      </c>
      <c r="O72" s="62">
        <v>0</v>
      </c>
      <c r="Q72" s="32">
        <f>IF(P62&gt;0,IF(P62&gt;=1,1,0),IF(P62&lt;=-1,-1,0))</f>
        <v>0</v>
      </c>
      <c r="R72" s="12"/>
      <c r="S72" s="12"/>
      <c r="T72" s="7"/>
      <c r="X72" s="15" t="s">
        <v>191</v>
      </c>
      <c r="Y72" s="15">
        <f t="shared" si="37"/>
        <v>342</v>
      </c>
      <c r="AB72" s="12"/>
    </row>
    <row r="73" spans="1:28" ht="15.75" thickBot="1" x14ac:dyDescent="0.3">
      <c r="A73" s="7"/>
      <c r="K73" s="7"/>
      <c r="R73" s="12"/>
      <c r="S73" s="12"/>
      <c r="T73" s="8"/>
      <c r="U73" s="13"/>
      <c r="V73" s="13"/>
      <c r="W73" s="13"/>
      <c r="X73" s="13"/>
      <c r="Y73" s="13"/>
      <c r="Z73" s="13"/>
      <c r="AA73" s="13"/>
      <c r="AB73" s="14"/>
    </row>
    <row r="74" spans="1:28" x14ac:dyDescent="0.25">
      <c r="A74" s="7"/>
      <c r="K74" s="7"/>
      <c r="R74" s="12"/>
      <c r="S74" s="12"/>
    </row>
    <row r="75" spans="1:28" ht="15.75" thickBot="1" x14ac:dyDescent="0.3">
      <c r="A75" s="7"/>
      <c r="K75" s="8"/>
      <c r="L75" s="13"/>
      <c r="M75" s="13"/>
      <c r="N75" s="13"/>
      <c r="O75" s="13"/>
      <c r="P75" s="13"/>
      <c r="Q75" s="13"/>
      <c r="R75" s="14"/>
      <c r="S75" s="12"/>
    </row>
    <row r="76" spans="1:28" ht="15.75" thickBot="1" x14ac:dyDescent="0.3">
      <c r="A76" s="8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4"/>
    </row>
    <row r="77" spans="1:28" ht="15.75" thickBot="1" x14ac:dyDescent="0.3">
      <c r="A77" s="6"/>
      <c r="B77" s="28" t="s">
        <v>153</v>
      </c>
      <c r="C77" s="28"/>
      <c r="D77" s="4" t="str">
        <f>IF(E77=TRUE,"lig","desl")</f>
        <v>desl</v>
      </c>
      <c r="E77" s="4" t="b">
        <f>Interf_capact!E1</f>
        <v>0</v>
      </c>
      <c r="F77" s="10"/>
      <c r="G77" s="10"/>
      <c r="H77" s="10"/>
      <c r="I77" s="10"/>
      <c r="J77" s="10"/>
      <c r="K77" s="10"/>
      <c r="L77" s="10"/>
      <c r="M77" s="11"/>
    </row>
    <row r="78" spans="1:28" x14ac:dyDescent="0.25">
      <c r="A78" s="7"/>
      <c r="M78" s="12"/>
    </row>
    <row r="79" spans="1:28" ht="15.75" thickBot="1" x14ac:dyDescent="0.3">
      <c r="A79" s="7"/>
      <c r="C79" t="s">
        <v>192</v>
      </c>
      <c r="F79" t="s">
        <v>193</v>
      </c>
      <c r="M79" s="12"/>
    </row>
    <row r="80" spans="1:28" ht="15.75" thickBot="1" x14ac:dyDescent="0.3">
      <c r="A80" s="7"/>
      <c r="C80" s="32" t="s">
        <v>21</v>
      </c>
      <c r="D80" s="32" t="s">
        <v>22</v>
      </c>
      <c r="F80" s="32" t="s">
        <v>21</v>
      </c>
      <c r="G80" s="32" t="s">
        <v>22</v>
      </c>
      <c r="M80" s="12"/>
    </row>
    <row r="81" spans="1:13" x14ac:dyDescent="0.25">
      <c r="A81" s="7"/>
      <c r="B81" t="s">
        <v>194</v>
      </c>
      <c r="C81" s="46">
        <v>8</v>
      </c>
      <c r="D81" s="46">
        <v>0</v>
      </c>
      <c r="E81" t="s">
        <v>195</v>
      </c>
      <c r="F81" s="46">
        <v>9</v>
      </c>
      <c r="G81" s="46">
        <v>0</v>
      </c>
      <c r="M81" s="12"/>
    </row>
    <row r="82" spans="1:13" x14ac:dyDescent="0.25">
      <c r="A82" s="7"/>
      <c r="C82" s="46">
        <v>8</v>
      </c>
      <c r="D82" s="46">
        <v>1</v>
      </c>
      <c r="F82" s="46">
        <v>9</v>
      </c>
      <c r="G82" s="46">
        <v>7</v>
      </c>
      <c r="M82" s="12"/>
    </row>
    <row r="83" spans="1:13" x14ac:dyDescent="0.25">
      <c r="A83" s="7"/>
      <c r="B83" t="s">
        <v>196</v>
      </c>
      <c r="C83" s="47">
        <v>7.49</v>
      </c>
      <c r="D83" s="47">
        <v>1.98</v>
      </c>
      <c r="E83" t="s">
        <v>197</v>
      </c>
      <c r="F83" s="47">
        <v>8.49</v>
      </c>
      <c r="G83" s="47">
        <v>7.95</v>
      </c>
      <c r="M83" s="12"/>
    </row>
    <row r="84" spans="1:13" x14ac:dyDescent="0.25">
      <c r="A84" s="7"/>
      <c r="C84" s="47">
        <f>C83</f>
        <v>7.49</v>
      </c>
      <c r="D84" s="47">
        <f>D83</f>
        <v>1.98</v>
      </c>
      <c r="F84" s="47">
        <f>F83</f>
        <v>8.49</v>
      </c>
      <c r="G84" s="47">
        <f>G83</f>
        <v>7.95</v>
      </c>
      <c r="M84" s="12"/>
    </row>
    <row r="85" spans="1:13" x14ac:dyDescent="0.25">
      <c r="A85" s="7"/>
      <c r="B85" t="s">
        <v>198</v>
      </c>
      <c r="C85" s="48">
        <f>6.9</f>
        <v>6.9</v>
      </c>
      <c r="D85" s="48">
        <v>2.9</v>
      </c>
      <c r="E85" t="s">
        <v>199</v>
      </c>
      <c r="F85" s="48">
        <v>8</v>
      </c>
      <c r="G85" s="48">
        <v>8.7799999999999994</v>
      </c>
      <c r="M85" s="12"/>
    </row>
    <row r="86" spans="1:13" x14ac:dyDescent="0.25">
      <c r="A86" s="7"/>
      <c r="C86" s="48">
        <f>IF(D77="lig",3,C85-0.5)</f>
        <v>6.4</v>
      </c>
      <c r="D86" s="48">
        <f>D85</f>
        <v>2.9</v>
      </c>
      <c r="F86" s="48">
        <f>IF(E77=TRUE,2.6,6.4)</f>
        <v>6.4</v>
      </c>
      <c r="G86" s="48">
        <f>G85</f>
        <v>8.7799999999999994</v>
      </c>
      <c r="M86" s="12"/>
    </row>
    <row r="87" spans="1:13" x14ac:dyDescent="0.25">
      <c r="A87" s="7"/>
      <c r="B87" t="s">
        <v>200</v>
      </c>
      <c r="C87" s="49">
        <f>C86</f>
        <v>6.4</v>
      </c>
      <c r="D87" s="49">
        <f>D86</f>
        <v>2.9</v>
      </c>
      <c r="E87" t="s">
        <v>201</v>
      </c>
      <c r="F87" s="49">
        <f>F86</f>
        <v>6.4</v>
      </c>
      <c r="G87" s="49">
        <f>G86</f>
        <v>8.7799999999999994</v>
      </c>
      <c r="M87" s="12"/>
    </row>
    <row r="88" spans="1:13" ht="15.75" thickBot="1" x14ac:dyDescent="0.3">
      <c r="A88" s="7"/>
      <c r="C88" s="50">
        <f>C87</f>
        <v>6.4</v>
      </c>
      <c r="D88" s="50">
        <f>D87</f>
        <v>2.9</v>
      </c>
      <c r="F88" s="50">
        <f>F87</f>
        <v>6.4</v>
      </c>
      <c r="G88" s="50">
        <f>G87</f>
        <v>8.7799999999999994</v>
      </c>
      <c r="M88" s="12"/>
    </row>
    <row r="89" spans="1:13" x14ac:dyDescent="0.25">
      <c r="A89" s="7"/>
      <c r="M89" s="12"/>
    </row>
    <row r="90" spans="1:13" x14ac:dyDescent="0.25">
      <c r="A90" s="7"/>
      <c r="M90" s="12"/>
    </row>
    <row r="91" spans="1:13" x14ac:dyDescent="0.25">
      <c r="A91" s="7"/>
      <c r="M91" s="12"/>
    </row>
    <row r="92" spans="1:13" x14ac:dyDescent="0.25">
      <c r="A92" s="7"/>
      <c r="M92" s="12"/>
    </row>
    <row r="93" spans="1:13" ht="15.75" thickBot="1" x14ac:dyDescent="0.3">
      <c r="A93" s="8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4"/>
    </row>
    <row r="97" spans="2:19" ht="15.75" thickBot="1" x14ac:dyDescent="0.3"/>
    <row r="98" spans="2:19" ht="15.75" thickBot="1" x14ac:dyDescent="0.3">
      <c r="B98" s="29" t="s">
        <v>203</v>
      </c>
      <c r="C98" s="29"/>
      <c r="E98" s="41" t="s">
        <v>228</v>
      </c>
      <c r="F98" s="42">
        <f>E52</f>
        <v>0</v>
      </c>
    </row>
    <row r="99" spans="2:19" ht="15.75" thickBot="1" x14ac:dyDescent="0.3"/>
    <row r="100" spans="2:19" ht="15.75" thickBot="1" x14ac:dyDescent="0.3">
      <c r="E100" s="122" t="s">
        <v>204</v>
      </c>
      <c r="G100" t="s">
        <v>205</v>
      </c>
      <c r="H100" s="4">
        <f>IF(F98=0,0,IF(E101=TRUE,G101,IF(E102=TRUE,G102,IF(E103=TRUE,G103,IF(E104=TRUE,G104,IF(E105=TRUE,G105,0))))))</f>
        <v>0</v>
      </c>
      <c r="I100">
        <f>H100</f>
        <v>0</v>
      </c>
    </row>
    <row r="101" spans="2:19" x14ac:dyDescent="0.25">
      <c r="C101" s="30">
        <f>D38</f>
        <v>0</v>
      </c>
      <c r="D101" s="30">
        <f>E38</f>
        <v>2.3148148148148147E-5</v>
      </c>
      <c r="E101" t="b">
        <f>G38</f>
        <v>0</v>
      </c>
      <c r="G101">
        <v>5</v>
      </c>
    </row>
    <row r="102" spans="2:19" x14ac:dyDescent="0.25">
      <c r="C102" s="30">
        <f t="shared" ref="C102:D104" si="41">D39</f>
        <v>3.4722222222222222E-5</v>
      </c>
      <c r="D102" s="30">
        <f t="shared" si="41"/>
        <v>4.6296296296296294E-5</v>
      </c>
      <c r="E102" t="b">
        <f t="shared" ref="E102:E105" si="42">G39</f>
        <v>0</v>
      </c>
      <c r="G102">
        <v>4.5</v>
      </c>
    </row>
    <row r="103" spans="2:19" x14ac:dyDescent="0.25">
      <c r="C103" s="30">
        <f t="shared" si="41"/>
        <v>5.7870370370370366E-5</v>
      </c>
      <c r="D103" s="30">
        <f t="shared" si="41"/>
        <v>6.9444444444444444E-5</v>
      </c>
      <c r="E103" t="b">
        <f t="shared" si="42"/>
        <v>0</v>
      </c>
      <c r="G103">
        <v>3.5</v>
      </c>
    </row>
    <row r="104" spans="2:19" x14ac:dyDescent="0.25">
      <c r="C104" s="30">
        <f t="shared" si="41"/>
        <v>8.1018518518518516E-5</v>
      </c>
      <c r="D104" s="30">
        <f t="shared" si="41"/>
        <v>9.2592592592592588E-5</v>
      </c>
      <c r="E104" t="b">
        <f t="shared" si="42"/>
        <v>0</v>
      </c>
      <c r="G104">
        <v>2</v>
      </c>
    </row>
    <row r="105" spans="2:19" x14ac:dyDescent="0.25">
      <c r="C105" s="30"/>
      <c r="D105" s="30">
        <f>E42</f>
        <v>1.0416666666666667E-4</v>
      </c>
      <c r="E105" t="b">
        <f t="shared" si="42"/>
        <v>0</v>
      </c>
      <c r="G105">
        <v>0</v>
      </c>
    </row>
    <row r="107" spans="2:19" ht="15.75" thickBot="1" x14ac:dyDescent="0.3">
      <c r="E107" t="s">
        <v>21</v>
      </c>
      <c r="F107" t="s">
        <v>22</v>
      </c>
      <c r="I107" t="s">
        <v>217</v>
      </c>
    </row>
    <row r="108" spans="2:19" ht="15.75" thickBot="1" x14ac:dyDescent="0.3">
      <c r="C108" t="s">
        <v>208</v>
      </c>
      <c r="D108" s="6" t="s">
        <v>67</v>
      </c>
      <c r="E108" s="123">
        <f>IF($I$100=$G$101,K123,IF($I$100=$G$102,K108,IF($I$100=$G$103,O108,IF($I$100=$G$104,R108,30))))</f>
        <v>30</v>
      </c>
      <c r="F108" s="123">
        <f>IF($I$100=$G$101,L123,IF($I$100=$G$102,L108,IF($I$100=$G$103,P108,IF($I$100=$G$104,S108,30))))</f>
        <v>30</v>
      </c>
      <c r="J108" s="29">
        <v>2</v>
      </c>
      <c r="K108" s="124">
        <v>3</v>
      </c>
      <c r="L108" s="125">
        <v>0</v>
      </c>
      <c r="N108" s="29">
        <v>3</v>
      </c>
      <c r="O108" s="124">
        <v>3</v>
      </c>
      <c r="P108" s="125">
        <v>0</v>
      </c>
      <c r="Q108" s="29">
        <v>4</v>
      </c>
      <c r="R108" s="124">
        <v>3</v>
      </c>
      <c r="S108" s="125">
        <v>0</v>
      </c>
    </row>
    <row r="109" spans="2:19" ht="15.75" thickBot="1" x14ac:dyDescent="0.3">
      <c r="D109" s="8"/>
      <c r="E109" s="123">
        <f t="shared" ref="E109:F121" si="43">IF($I$100=$G$101,K124,IF($I$100=$G$102,K109,IF($I$100=$G$103,O109,IF($I$100=$G$104,R109,30))))</f>
        <v>30</v>
      </c>
      <c r="F109" s="123">
        <f t="shared" si="43"/>
        <v>30</v>
      </c>
      <c r="K109" s="126">
        <v>8.5</v>
      </c>
      <c r="L109" s="127">
        <v>0</v>
      </c>
      <c r="O109" s="126">
        <v>6.8</v>
      </c>
      <c r="P109" s="127">
        <v>0</v>
      </c>
      <c r="R109" s="126">
        <v>5</v>
      </c>
      <c r="S109" s="127">
        <v>0</v>
      </c>
    </row>
    <row r="110" spans="2:19" ht="15.75" thickBot="1" x14ac:dyDescent="0.3">
      <c r="C110" t="s">
        <v>209</v>
      </c>
      <c r="D110" s="6" t="s">
        <v>77</v>
      </c>
      <c r="E110" s="123">
        <f t="shared" si="43"/>
        <v>30</v>
      </c>
      <c r="F110" s="123">
        <f t="shared" si="43"/>
        <v>30</v>
      </c>
      <c r="K110" s="126">
        <v>0</v>
      </c>
      <c r="L110" s="127">
        <v>3.5</v>
      </c>
      <c r="O110" s="126">
        <v>0</v>
      </c>
      <c r="P110" s="127">
        <v>3.5</v>
      </c>
      <c r="R110" s="126">
        <v>0</v>
      </c>
      <c r="S110" s="127">
        <v>3.5</v>
      </c>
    </row>
    <row r="111" spans="2:19" ht="15.75" thickBot="1" x14ac:dyDescent="0.3">
      <c r="D111" s="8"/>
      <c r="E111" s="123">
        <f t="shared" si="43"/>
        <v>30</v>
      </c>
      <c r="F111" s="123">
        <f t="shared" si="43"/>
        <v>30</v>
      </c>
      <c r="K111" s="126">
        <v>0</v>
      </c>
      <c r="L111" s="127">
        <v>8.5</v>
      </c>
      <c r="O111" s="126">
        <v>0</v>
      </c>
      <c r="P111" s="127">
        <v>7</v>
      </c>
      <c r="R111" s="126">
        <v>0</v>
      </c>
      <c r="S111" s="127">
        <v>5</v>
      </c>
    </row>
    <row r="112" spans="2:19" ht="15.75" thickBot="1" x14ac:dyDescent="0.3">
      <c r="C112" t="s">
        <v>210</v>
      </c>
      <c r="D112" s="6" t="s">
        <v>94</v>
      </c>
      <c r="E112" s="123">
        <f t="shared" si="43"/>
        <v>30</v>
      </c>
      <c r="F112" s="123">
        <f t="shared" si="43"/>
        <v>30</v>
      </c>
      <c r="K112" s="126">
        <v>0</v>
      </c>
      <c r="L112" s="127">
        <v>-3.5</v>
      </c>
      <c r="O112" s="126">
        <v>0</v>
      </c>
      <c r="P112" s="127">
        <v>-3.5</v>
      </c>
      <c r="R112" s="126">
        <v>0</v>
      </c>
      <c r="S112" s="127">
        <v>-3.5</v>
      </c>
    </row>
    <row r="113" spans="2:19" ht="15.75" thickBot="1" x14ac:dyDescent="0.3">
      <c r="D113" s="8"/>
      <c r="E113" s="123">
        <f t="shared" si="43"/>
        <v>30</v>
      </c>
      <c r="F113" s="123">
        <f t="shared" si="43"/>
        <v>30</v>
      </c>
      <c r="K113" s="126">
        <v>0</v>
      </c>
      <c r="L113" s="127">
        <v>-8.5</v>
      </c>
      <c r="O113" s="126">
        <v>0</v>
      </c>
      <c r="P113" s="127">
        <v>-7</v>
      </c>
      <c r="R113" s="126">
        <v>0</v>
      </c>
      <c r="S113" s="127">
        <v>-5</v>
      </c>
    </row>
    <row r="114" spans="2:19" ht="15.75" thickBot="1" x14ac:dyDescent="0.3">
      <c r="C114" t="s">
        <v>211</v>
      </c>
      <c r="D114" s="6" t="s">
        <v>100</v>
      </c>
      <c r="E114" s="123">
        <f t="shared" si="43"/>
        <v>30</v>
      </c>
      <c r="F114" s="123">
        <f t="shared" si="43"/>
        <v>30</v>
      </c>
      <c r="G114" t="s">
        <v>216</v>
      </c>
      <c r="H114">
        <v>60</v>
      </c>
      <c r="K114" s="126">
        <f>O114</f>
        <v>1.5</v>
      </c>
      <c r="L114" s="127">
        <f>P114</f>
        <v>3.2</v>
      </c>
      <c r="O114" s="126">
        <v>1.5</v>
      </c>
      <c r="P114" s="127">
        <v>3.2</v>
      </c>
      <c r="R114" s="124">
        <v>1.5</v>
      </c>
      <c r="S114" s="125">
        <v>3.2</v>
      </c>
    </row>
    <row r="115" spans="2:19" ht="15.75" thickBot="1" x14ac:dyDescent="0.3">
      <c r="D115" s="8"/>
      <c r="E115" s="123">
        <f t="shared" si="43"/>
        <v>30</v>
      </c>
      <c r="F115" s="123">
        <f t="shared" si="43"/>
        <v>30</v>
      </c>
      <c r="G115">
        <f>RADIANS(H114)</f>
        <v>1.0471975511965976</v>
      </c>
      <c r="K115" s="126">
        <v>3.9375</v>
      </c>
      <c r="L115" s="127">
        <v>7.8749876718559984</v>
      </c>
      <c r="O115" s="126">
        <v>3.0625</v>
      </c>
      <c r="P115" s="127">
        <v>6.1249904114435543</v>
      </c>
      <c r="R115" s="128">
        <v>2.2000000000000002</v>
      </c>
      <c r="S115" s="129">
        <v>4.3749931510311102</v>
      </c>
    </row>
    <row r="116" spans="2:19" ht="15.75" thickBot="1" x14ac:dyDescent="0.3">
      <c r="C116" t="s">
        <v>214</v>
      </c>
      <c r="D116" s="6" t="s">
        <v>206</v>
      </c>
      <c r="E116" s="123">
        <f t="shared" si="43"/>
        <v>30</v>
      </c>
      <c r="F116" s="123">
        <f t="shared" si="43"/>
        <v>30</v>
      </c>
      <c r="K116" s="126">
        <f>K114</f>
        <v>1.5</v>
      </c>
      <c r="L116" s="127">
        <f>-L114</f>
        <v>-3.2</v>
      </c>
      <c r="O116" s="126">
        <f>O114</f>
        <v>1.5</v>
      </c>
      <c r="P116" s="127">
        <f>-P114</f>
        <v>-3.2</v>
      </c>
      <c r="R116" s="126">
        <f>R114</f>
        <v>1.5</v>
      </c>
      <c r="S116" s="127">
        <f>-S114</f>
        <v>-3.2</v>
      </c>
    </row>
    <row r="117" spans="2:19" ht="15.75" thickBot="1" x14ac:dyDescent="0.3">
      <c r="D117" s="8"/>
      <c r="E117" s="123">
        <f t="shared" si="43"/>
        <v>30</v>
      </c>
      <c r="F117" s="123">
        <f t="shared" si="43"/>
        <v>30</v>
      </c>
      <c r="K117" s="126">
        <v>3.9375</v>
      </c>
      <c r="L117" s="127">
        <v>-7.8749876718559984</v>
      </c>
      <c r="O117" s="126">
        <v>3.0625</v>
      </c>
      <c r="P117" s="127">
        <v>-6.1249904114435543</v>
      </c>
      <c r="R117" s="126">
        <f>R115</f>
        <v>2.2000000000000002</v>
      </c>
      <c r="S117" s="127">
        <f>-S115</f>
        <v>-4.3749931510311102</v>
      </c>
    </row>
    <row r="118" spans="2:19" ht="15.75" thickBot="1" x14ac:dyDescent="0.3">
      <c r="C118" t="s">
        <v>212</v>
      </c>
      <c r="D118" s="6" t="s">
        <v>207</v>
      </c>
      <c r="E118" s="123">
        <f t="shared" si="43"/>
        <v>30</v>
      </c>
      <c r="F118" s="123">
        <f t="shared" si="43"/>
        <v>30</v>
      </c>
      <c r="G118" t="s">
        <v>216</v>
      </c>
      <c r="H118">
        <v>10</v>
      </c>
      <c r="K118" s="126">
        <v>2.5</v>
      </c>
      <c r="L118" s="127">
        <v>2</v>
      </c>
      <c r="O118" s="126">
        <v>2.5</v>
      </c>
      <c r="P118" s="127">
        <v>2</v>
      </c>
      <c r="R118" s="126">
        <v>2.5</v>
      </c>
      <c r="S118" s="127">
        <v>2</v>
      </c>
    </row>
    <row r="119" spans="2:19" ht="15.75" thickBot="1" x14ac:dyDescent="0.3">
      <c r="D119" s="8"/>
      <c r="E119" s="123">
        <f t="shared" si="43"/>
        <v>30</v>
      </c>
      <c r="F119" s="123">
        <f t="shared" si="43"/>
        <v>30</v>
      </c>
      <c r="G119">
        <f>RADIANS(H118)</f>
        <v>0.17453292519943295</v>
      </c>
      <c r="K119" s="126">
        <v>7.8408174442774685</v>
      </c>
      <c r="L119" s="127">
        <v>4.8907083997505936</v>
      </c>
      <c r="O119" s="126">
        <v>6.098413567771364</v>
      </c>
      <c r="P119" s="127">
        <v>3.8038843109171285</v>
      </c>
      <c r="R119" s="126">
        <v>4.3560096912652604</v>
      </c>
      <c r="S119" s="127">
        <v>2.717060222083663</v>
      </c>
    </row>
    <row r="120" spans="2:19" ht="15.75" thickBot="1" x14ac:dyDescent="0.3">
      <c r="C120" t="s">
        <v>215</v>
      </c>
      <c r="D120" s="6" t="s">
        <v>213</v>
      </c>
      <c r="E120" s="123">
        <f t="shared" si="43"/>
        <v>30</v>
      </c>
      <c r="F120" s="123">
        <f t="shared" si="43"/>
        <v>30</v>
      </c>
      <c r="K120" s="126">
        <v>2.5</v>
      </c>
      <c r="L120" s="127">
        <v>-2</v>
      </c>
      <c r="O120" s="126">
        <v>2.5</v>
      </c>
      <c r="P120" s="127">
        <v>-2</v>
      </c>
      <c r="R120" s="126">
        <v>2.5</v>
      </c>
      <c r="S120" s="127">
        <v>-2</v>
      </c>
    </row>
    <row r="121" spans="2:19" ht="15.75" thickBot="1" x14ac:dyDescent="0.3">
      <c r="D121" s="8"/>
      <c r="E121" s="123">
        <f t="shared" si="43"/>
        <v>30</v>
      </c>
      <c r="F121" s="123">
        <f t="shared" si="43"/>
        <v>30</v>
      </c>
      <c r="K121" s="128">
        <v>7.8408174442774685</v>
      </c>
      <c r="L121" s="129">
        <v>-4.8907083997505936</v>
      </c>
      <c r="O121" s="128">
        <v>6.098413567771364</v>
      </c>
      <c r="P121" s="129">
        <v>-3.8038843109171285</v>
      </c>
      <c r="R121" s="128">
        <v>4.3560096912652604</v>
      </c>
      <c r="S121" s="129">
        <v>-2.717060222083663</v>
      </c>
    </row>
    <row r="122" spans="2:19" ht="15.75" thickBot="1" x14ac:dyDescent="0.3"/>
    <row r="123" spans="2:19" ht="15.75" thickBot="1" x14ac:dyDescent="0.3">
      <c r="J123" s="29">
        <v>1</v>
      </c>
      <c r="K123" s="124">
        <v>3</v>
      </c>
      <c r="L123" s="125">
        <v>0</v>
      </c>
    </row>
    <row r="124" spans="2:19" ht="15.75" thickBot="1" x14ac:dyDescent="0.3">
      <c r="B124" s="6" t="s">
        <v>218</v>
      </c>
      <c r="C124" s="130" t="b">
        <f>IF(Interf_capact!A20=100,IF(J59&lt;&gt;0,TRUE,FALSE),FALSE)</f>
        <v>0</v>
      </c>
      <c r="D124" s="10"/>
      <c r="E124" s="10"/>
      <c r="F124" s="11"/>
      <c r="K124" s="128">
        <v>9.5</v>
      </c>
      <c r="L124" s="129">
        <v>0</v>
      </c>
    </row>
    <row r="125" spans="2:19" x14ac:dyDescent="0.25">
      <c r="B125" s="7"/>
      <c r="C125" s="6" t="s">
        <v>219</v>
      </c>
      <c r="D125" s="10" t="s">
        <v>21</v>
      </c>
      <c r="E125" s="11" t="s">
        <v>22</v>
      </c>
      <c r="F125" s="12" t="s">
        <v>227</v>
      </c>
      <c r="K125" s="124">
        <v>0</v>
      </c>
      <c r="L125" s="125">
        <v>3.6</v>
      </c>
    </row>
    <row r="126" spans="2:19" ht="15.75" thickBot="1" x14ac:dyDescent="0.3">
      <c r="B126" s="7"/>
      <c r="C126" s="8"/>
      <c r="D126" s="13">
        <f>IF(C124=TRUE,1,15)</f>
        <v>15</v>
      </c>
      <c r="E126" s="14">
        <v>1</v>
      </c>
      <c r="F126" s="12">
        <f>E52</f>
        <v>0</v>
      </c>
      <c r="K126" s="128">
        <v>0</v>
      </c>
      <c r="L126" s="129">
        <v>9.5</v>
      </c>
    </row>
    <row r="127" spans="2:19" x14ac:dyDescent="0.25">
      <c r="B127" s="7"/>
      <c r="F127" s="12"/>
      <c r="K127" s="124">
        <v>0</v>
      </c>
      <c r="L127" s="125">
        <f>-L125</f>
        <v>-3.6</v>
      </c>
    </row>
    <row r="128" spans="2:19" ht="15.75" thickBot="1" x14ac:dyDescent="0.3">
      <c r="B128" s="7"/>
      <c r="F128" s="12"/>
      <c r="K128" s="128">
        <v>0</v>
      </c>
      <c r="L128" s="129">
        <f>-L126</f>
        <v>-9.5</v>
      </c>
    </row>
    <row r="129" spans="2:19" x14ac:dyDescent="0.25">
      <c r="B129" s="7"/>
      <c r="F129" s="12"/>
      <c r="K129" s="126">
        <f>K114</f>
        <v>1.5</v>
      </c>
      <c r="L129" s="126">
        <f>L114</f>
        <v>3.2</v>
      </c>
    </row>
    <row r="130" spans="2:19" x14ac:dyDescent="0.25">
      <c r="B130" s="7"/>
      <c r="F130" s="12"/>
      <c r="K130" s="126">
        <v>4.375</v>
      </c>
      <c r="L130" s="127">
        <v>8.7499863020622204</v>
      </c>
    </row>
    <row r="131" spans="2:19" x14ac:dyDescent="0.25">
      <c r="B131" s="7"/>
      <c r="F131" s="12"/>
      <c r="K131" s="126">
        <f>K129</f>
        <v>1.5</v>
      </c>
      <c r="L131" s="127">
        <f>-L129</f>
        <v>-3.2</v>
      </c>
    </row>
    <row r="132" spans="2:19" x14ac:dyDescent="0.25">
      <c r="B132" s="7"/>
      <c r="F132" s="12"/>
      <c r="K132" s="126">
        <v>4.375</v>
      </c>
      <c r="L132" s="127">
        <v>-8.7499863020622204</v>
      </c>
    </row>
    <row r="133" spans="2:19" ht="15.75" thickBot="1" x14ac:dyDescent="0.3">
      <c r="B133" s="8"/>
      <c r="C133" s="13"/>
      <c r="D133" s="13"/>
      <c r="E133" s="13"/>
      <c r="F133" s="14"/>
      <c r="K133" s="126">
        <v>2.5</v>
      </c>
      <c r="L133" s="127">
        <v>2</v>
      </c>
    </row>
    <row r="134" spans="2:19" x14ac:dyDescent="0.25">
      <c r="K134" s="126">
        <v>8.7120193825305208</v>
      </c>
      <c r="L134" s="127">
        <v>5.4341204441673261</v>
      </c>
    </row>
    <row r="135" spans="2:19" x14ac:dyDescent="0.25">
      <c r="K135" s="126">
        <v>2.5</v>
      </c>
      <c r="L135" s="127">
        <v>-2</v>
      </c>
    </row>
    <row r="136" spans="2:19" ht="15.75" thickBot="1" x14ac:dyDescent="0.3">
      <c r="K136" s="128">
        <v>8.7120193825305208</v>
      </c>
      <c r="L136" s="129">
        <v>-5.4341204441673261</v>
      </c>
    </row>
    <row r="138" spans="2:19" x14ac:dyDescent="0.25">
      <c r="D138" t="s">
        <v>220</v>
      </c>
    </row>
    <row r="140" spans="2:19" ht="15.75" thickBot="1" x14ac:dyDescent="0.3">
      <c r="E140" t="s">
        <v>21</v>
      </c>
      <c r="F140" t="s">
        <v>22</v>
      </c>
      <c r="I140" t="s">
        <v>217</v>
      </c>
    </row>
    <row r="141" spans="2:19" ht="15.75" thickBot="1" x14ac:dyDescent="0.3">
      <c r="D141" s="6" t="s">
        <v>221</v>
      </c>
      <c r="E141" s="123">
        <f>IF($I$100=$G$101,K156,IF($I$100=$G$102,K141,IF($I$100=$G$103,O141,IF($I$100=$G$104,R141,30))))</f>
        <v>30</v>
      </c>
      <c r="F141" s="123">
        <f>IF($I$100=$G$101,L156,IF($I$100=$G$102,L141,IF($I$100=$G$103,P141,IF($I$100=$G$104,S141,30))))</f>
        <v>30</v>
      </c>
      <c r="J141" s="29">
        <v>2</v>
      </c>
      <c r="K141" s="124">
        <v>2.8</v>
      </c>
      <c r="L141" s="125">
        <v>1</v>
      </c>
      <c r="N141" s="29">
        <v>3</v>
      </c>
      <c r="O141" s="124">
        <v>2.8</v>
      </c>
      <c r="P141" s="125">
        <v>1</v>
      </c>
      <c r="Q141" s="29">
        <v>4</v>
      </c>
      <c r="R141" s="124">
        <v>2.8</v>
      </c>
      <c r="S141" s="125">
        <v>1</v>
      </c>
    </row>
    <row r="142" spans="2:19" ht="15.75" thickBot="1" x14ac:dyDescent="0.3">
      <c r="D142" s="8"/>
      <c r="E142" s="123">
        <f t="shared" ref="E142:E152" si="44">IF($I$100=$G$101,K157,IF($I$100=$G$102,K142,IF($I$100=$G$103,O142,IF($I$100=$G$104,R142,30))))</f>
        <v>30</v>
      </c>
      <c r="F142" s="123">
        <f t="shared" ref="F142:F152" si="45">IF($I$100=$G$101,L157,IF($I$100=$G$102,L142,IF($I$100=$G$103,P142,IF($I$100=$G$104,S142,30))))</f>
        <v>30</v>
      </c>
      <c r="K142" s="128">
        <v>8.6</v>
      </c>
      <c r="L142" s="129">
        <v>2.2999999999999998</v>
      </c>
      <c r="O142" s="128">
        <v>6.8</v>
      </c>
      <c r="P142" s="129">
        <v>2</v>
      </c>
      <c r="R142" s="128">
        <v>4.8</v>
      </c>
      <c r="S142" s="129">
        <v>1.5</v>
      </c>
    </row>
    <row r="143" spans="2:19" ht="15.75" thickBot="1" x14ac:dyDescent="0.3">
      <c r="D143" s="6" t="s">
        <v>222</v>
      </c>
      <c r="E143" s="123">
        <f t="shared" si="44"/>
        <v>30</v>
      </c>
      <c r="F143" s="123">
        <f t="shared" si="45"/>
        <v>30</v>
      </c>
      <c r="K143" s="124">
        <v>0.6</v>
      </c>
      <c r="L143" s="125">
        <v>3.3</v>
      </c>
      <c r="O143" s="124">
        <v>0.6</v>
      </c>
      <c r="P143" s="125">
        <v>3.3</v>
      </c>
      <c r="R143" s="124">
        <v>0.6</v>
      </c>
      <c r="S143" s="125">
        <v>3.3</v>
      </c>
    </row>
    <row r="144" spans="2:19" ht="15.75" thickBot="1" x14ac:dyDescent="0.3">
      <c r="D144" s="8"/>
      <c r="E144" s="123">
        <f t="shared" si="44"/>
        <v>30</v>
      </c>
      <c r="F144" s="123">
        <f t="shared" si="45"/>
        <v>30</v>
      </c>
      <c r="K144" s="128">
        <v>1.8</v>
      </c>
      <c r="L144" s="129">
        <v>8.5</v>
      </c>
      <c r="O144" s="128">
        <v>1.5</v>
      </c>
      <c r="P144" s="129">
        <v>7</v>
      </c>
      <c r="R144" s="128">
        <v>1.1000000000000001</v>
      </c>
      <c r="S144" s="129">
        <v>5</v>
      </c>
    </row>
    <row r="145" spans="4:19" ht="15.75" thickBot="1" x14ac:dyDescent="0.3">
      <c r="D145" s="6" t="s">
        <v>223</v>
      </c>
      <c r="E145" s="123">
        <f t="shared" si="44"/>
        <v>30</v>
      </c>
      <c r="F145" s="123">
        <f t="shared" si="45"/>
        <v>30</v>
      </c>
      <c r="K145" s="124">
        <f>K143</f>
        <v>0.6</v>
      </c>
      <c r="L145" s="125">
        <f>-L143</f>
        <v>-3.3</v>
      </c>
      <c r="O145" s="124">
        <f>O143</f>
        <v>0.6</v>
      </c>
      <c r="P145" s="125">
        <f>-P143</f>
        <v>-3.3</v>
      </c>
      <c r="R145" s="124">
        <f>R143</f>
        <v>0.6</v>
      </c>
      <c r="S145" s="125">
        <f>-S143</f>
        <v>-3.3</v>
      </c>
    </row>
    <row r="146" spans="4:19" ht="15.75" thickBot="1" x14ac:dyDescent="0.3">
      <c r="D146" s="8"/>
      <c r="E146" s="123">
        <f t="shared" si="44"/>
        <v>30</v>
      </c>
      <c r="F146" s="123">
        <f t="shared" si="45"/>
        <v>30</v>
      </c>
      <c r="K146" s="128">
        <f>K144</f>
        <v>1.8</v>
      </c>
      <c r="L146" s="129">
        <f>-L144</f>
        <v>-8.5</v>
      </c>
      <c r="O146" s="128">
        <f>O144</f>
        <v>1.5</v>
      </c>
      <c r="P146" s="129">
        <f>-P144</f>
        <v>-7</v>
      </c>
      <c r="R146" s="128">
        <f>R144</f>
        <v>1.1000000000000001</v>
      </c>
      <c r="S146" s="129">
        <f>-S144</f>
        <v>-5</v>
      </c>
    </row>
    <row r="147" spans="4:19" ht="15.75" thickBot="1" x14ac:dyDescent="0.3">
      <c r="D147" s="6" t="s">
        <v>224</v>
      </c>
      <c r="E147" s="123">
        <f t="shared" si="44"/>
        <v>30</v>
      </c>
      <c r="F147" s="123">
        <f t="shared" si="45"/>
        <v>30</v>
      </c>
      <c r="K147" s="126">
        <v>2</v>
      </c>
      <c r="L147" s="127">
        <v>2.6</v>
      </c>
      <c r="O147" s="126">
        <v>2</v>
      </c>
      <c r="P147" s="127">
        <v>2.6</v>
      </c>
      <c r="R147" s="126">
        <v>2</v>
      </c>
      <c r="S147" s="127">
        <v>2.6</v>
      </c>
    </row>
    <row r="148" spans="4:19" ht="15.75" thickBot="1" x14ac:dyDescent="0.3">
      <c r="D148" s="8"/>
      <c r="E148" s="123">
        <f t="shared" si="44"/>
        <v>30</v>
      </c>
      <c r="F148" s="123">
        <f t="shared" si="45"/>
        <v>30</v>
      </c>
      <c r="K148" s="126">
        <v>6.3</v>
      </c>
      <c r="L148" s="127">
        <v>7</v>
      </c>
      <c r="O148" s="126">
        <v>5</v>
      </c>
      <c r="P148" s="127">
        <v>5.3</v>
      </c>
      <c r="R148" s="126">
        <v>3.7</v>
      </c>
      <c r="S148" s="127">
        <v>3.8</v>
      </c>
    </row>
    <row r="149" spans="4:19" ht="15.75" thickBot="1" x14ac:dyDescent="0.3">
      <c r="D149" s="6" t="s">
        <v>225</v>
      </c>
      <c r="E149" s="123">
        <f>IF($I$100=$G$101,K164,IF($I$100=$G$102,K149,IF($I$100=$G$103,O149,IF($I$100=$G$104,R149,30))))</f>
        <v>30</v>
      </c>
      <c r="F149" s="123">
        <f t="shared" si="45"/>
        <v>30</v>
      </c>
      <c r="K149" s="124">
        <f>K141</f>
        <v>2.8</v>
      </c>
      <c r="L149" s="125">
        <f>-L141</f>
        <v>-1</v>
      </c>
      <c r="O149" s="124">
        <f>O141</f>
        <v>2.8</v>
      </c>
      <c r="P149" s="125">
        <f>-P141</f>
        <v>-1</v>
      </c>
      <c r="R149" s="124">
        <f>R141</f>
        <v>2.8</v>
      </c>
      <c r="S149" s="125">
        <f>-S141</f>
        <v>-1</v>
      </c>
    </row>
    <row r="150" spans="4:19" ht="15.75" thickBot="1" x14ac:dyDescent="0.3">
      <c r="D150" s="8"/>
      <c r="E150" s="123">
        <f t="shared" si="44"/>
        <v>30</v>
      </c>
      <c r="F150" s="123">
        <f t="shared" si="45"/>
        <v>30</v>
      </c>
      <c r="K150" s="128">
        <f>K142</f>
        <v>8.6</v>
      </c>
      <c r="L150" s="129">
        <f>-L142</f>
        <v>-2.2999999999999998</v>
      </c>
      <c r="O150" s="128">
        <f>O142</f>
        <v>6.8</v>
      </c>
      <c r="P150" s="129">
        <f>-P142</f>
        <v>-2</v>
      </c>
      <c r="R150" s="128">
        <f>R142</f>
        <v>4.8</v>
      </c>
      <c r="S150" s="129">
        <f>-S142</f>
        <v>-1.5</v>
      </c>
    </row>
    <row r="151" spans="4:19" ht="15.75" thickBot="1" x14ac:dyDescent="0.3">
      <c r="D151" s="6" t="s">
        <v>226</v>
      </c>
      <c r="E151" s="123">
        <f t="shared" si="44"/>
        <v>30</v>
      </c>
      <c r="F151" s="123">
        <f t="shared" si="45"/>
        <v>30</v>
      </c>
      <c r="K151" s="126">
        <f>K147</f>
        <v>2</v>
      </c>
      <c r="L151" s="127">
        <f>-L147</f>
        <v>-2.6</v>
      </c>
      <c r="O151" s="126">
        <f>O147</f>
        <v>2</v>
      </c>
      <c r="P151" s="127">
        <f>-P147</f>
        <v>-2.6</v>
      </c>
      <c r="R151" s="126">
        <f>R147</f>
        <v>2</v>
      </c>
      <c r="S151" s="127">
        <f>-S147</f>
        <v>-2.6</v>
      </c>
    </row>
    <row r="152" spans="4:19" ht="15.75" thickBot="1" x14ac:dyDescent="0.3">
      <c r="D152" s="8"/>
      <c r="E152" s="123">
        <f t="shared" si="44"/>
        <v>30</v>
      </c>
      <c r="F152" s="123">
        <f t="shared" si="45"/>
        <v>30</v>
      </c>
      <c r="K152" s="126">
        <f>K148</f>
        <v>6.3</v>
      </c>
      <c r="L152" s="127">
        <f>-L148</f>
        <v>-7</v>
      </c>
      <c r="O152" s="126">
        <f>O148</f>
        <v>5</v>
      </c>
      <c r="P152" s="127">
        <f>-P148</f>
        <v>-5.3</v>
      </c>
      <c r="R152" s="126">
        <f>R148</f>
        <v>3.7</v>
      </c>
      <c r="S152" s="127">
        <f>-S148</f>
        <v>-3.8</v>
      </c>
    </row>
    <row r="153" spans="4:19" x14ac:dyDescent="0.25">
      <c r="K153" s="124">
        <f>K147</f>
        <v>2</v>
      </c>
      <c r="L153" s="125">
        <f>-L147</f>
        <v>-2.6</v>
      </c>
      <c r="O153" s="124">
        <f>O147</f>
        <v>2</v>
      </c>
      <c r="P153" s="125">
        <f>-P147</f>
        <v>-2.6</v>
      </c>
      <c r="R153" s="124">
        <f>R147</f>
        <v>2</v>
      </c>
      <c r="S153" s="125">
        <f>-S147</f>
        <v>-2.6</v>
      </c>
    </row>
    <row r="154" spans="4:19" ht="15.75" thickBot="1" x14ac:dyDescent="0.3">
      <c r="K154" s="128">
        <f>K148</f>
        <v>6.3</v>
      </c>
      <c r="L154" s="129">
        <f>-L148</f>
        <v>-7</v>
      </c>
      <c r="O154" s="128">
        <f>O148</f>
        <v>5</v>
      </c>
      <c r="P154" s="129">
        <f>-P148</f>
        <v>-5.3</v>
      </c>
      <c r="R154" s="128">
        <f>R148</f>
        <v>3.7</v>
      </c>
      <c r="S154" s="129">
        <f>-S148</f>
        <v>-3.8</v>
      </c>
    </row>
    <row r="155" spans="4:19" ht="15.75" thickBot="1" x14ac:dyDescent="0.3"/>
    <row r="156" spans="4:19" x14ac:dyDescent="0.25">
      <c r="J156" s="29">
        <v>1</v>
      </c>
      <c r="K156" s="124">
        <v>2.8</v>
      </c>
      <c r="L156" s="125">
        <v>1</v>
      </c>
    </row>
    <row r="157" spans="4:19" ht="15.75" thickBot="1" x14ac:dyDescent="0.3">
      <c r="K157" s="128">
        <v>9.5</v>
      </c>
      <c r="L157" s="129">
        <v>2.7</v>
      </c>
    </row>
    <row r="158" spans="4:19" x14ac:dyDescent="0.25">
      <c r="K158" s="124">
        <v>0.6</v>
      </c>
      <c r="L158" s="125">
        <v>3.3</v>
      </c>
    </row>
    <row r="159" spans="4:19" ht="15.75" thickBot="1" x14ac:dyDescent="0.3">
      <c r="K159" s="128">
        <v>2</v>
      </c>
      <c r="L159" s="129">
        <v>9.5</v>
      </c>
    </row>
    <row r="160" spans="4:19" x14ac:dyDescent="0.25">
      <c r="K160" s="124">
        <f>K158</f>
        <v>0.6</v>
      </c>
      <c r="L160" s="125">
        <f>-L158</f>
        <v>-3.3</v>
      </c>
    </row>
    <row r="161" spans="11:12" ht="15.75" thickBot="1" x14ac:dyDescent="0.3">
      <c r="K161" s="128">
        <f>K159</f>
        <v>2</v>
      </c>
      <c r="L161" s="129">
        <f>-L159</f>
        <v>-9.5</v>
      </c>
    </row>
    <row r="162" spans="11:12" x14ac:dyDescent="0.25">
      <c r="K162" s="126">
        <v>2</v>
      </c>
      <c r="L162" s="127">
        <v>2.6</v>
      </c>
    </row>
    <row r="163" spans="11:12" ht="15.75" thickBot="1" x14ac:dyDescent="0.3">
      <c r="K163" s="126">
        <v>7</v>
      </c>
      <c r="L163" s="127">
        <v>7.5</v>
      </c>
    </row>
    <row r="164" spans="11:12" x14ac:dyDescent="0.25">
      <c r="K164" s="124">
        <v>2.8</v>
      </c>
      <c r="L164" s="125">
        <v>-1</v>
      </c>
    </row>
    <row r="165" spans="11:12" ht="15.75" thickBot="1" x14ac:dyDescent="0.3">
      <c r="K165" s="128">
        <v>9.5</v>
      </c>
      <c r="L165" s="129">
        <v>-2.7</v>
      </c>
    </row>
    <row r="166" spans="11:12" x14ac:dyDescent="0.25">
      <c r="K166" s="126">
        <v>2</v>
      </c>
      <c r="L166" s="127">
        <v>-2.6</v>
      </c>
    </row>
    <row r="167" spans="11:12" ht="15.75" thickBot="1" x14ac:dyDescent="0.3">
      <c r="K167" s="126">
        <v>7</v>
      </c>
      <c r="L167" s="127">
        <v>-7.5</v>
      </c>
    </row>
    <row r="168" spans="11:12" x14ac:dyDescent="0.25">
      <c r="K168" s="124">
        <v>2.5</v>
      </c>
      <c r="L168" s="125">
        <v>-2</v>
      </c>
    </row>
    <row r="169" spans="11:12" ht="15.75" thickBot="1" x14ac:dyDescent="0.3">
      <c r="K169" s="128">
        <v>8.7120193825305208</v>
      </c>
      <c r="L169" s="129">
        <v>-5.4341204441673261</v>
      </c>
    </row>
  </sheetData>
  <phoneticPr fontId="3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Interf_capact</vt:lpstr>
      <vt:lpstr>Graf_Desc</vt:lpstr>
      <vt:lpstr>COD_DESC_CAPACT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Abmael Rebouças</dc:creator>
  <cp:keywords/>
  <dc:description/>
  <cp:lastModifiedBy>abmael rebouças</cp:lastModifiedBy>
  <cp:revision/>
  <dcterms:created xsi:type="dcterms:W3CDTF">2023-01-03T17:30:00Z</dcterms:created>
  <dcterms:modified xsi:type="dcterms:W3CDTF">2023-09-07T16:05:08Z</dcterms:modified>
  <cp:category/>
  <cp:contentStatus/>
</cp:coreProperties>
</file>